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mc:AlternateContent xmlns:mc="http://schemas.openxmlformats.org/markup-compatibility/2006">
    <mc:Choice Requires="x15">
      <x15ac:absPath xmlns:x15ac="http://schemas.microsoft.com/office/spreadsheetml/2010/11/ac" url="C:\Users\coril\Desktop\RiskSavers\wesbite\tools\"/>
    </mc:Choice>
  </mc:AlternateContent>
  <xr:revisionPtr revIDLastSave="0" documentId="8_{6E7D21A1-D88B-487F-BB87-E9D467C53C9E}" xr6:coauthVersionLast="45" xr6:coauthVersionMax="45" xr10:uidLastSave="{00000000-0000-0000-0000-000000000000}"/>
  <bookViews>
    <workbookView xWindow="-120" yWindow="-120" windowWidth="29040" windowHeight="15840" tabRatio="858" activeTab="5"/>
  </bookViews>
  <sheets>
    <sheet name="Variables" sheetId="1" r:id="rId1"/>
    <sheet name="Results " sheetId="2" r:id="rId2"/>
    <sheet name="Loss Ratio" sheetId="3" r:id="rId3"/>
    <sheet name="Staffing" sheetId="4" r:id="rId4"/>
    <sheet name="Adjuster Cost" sheetId="5" r:id="rId5"/>
    <sheet name="Med Only" sheetId="6" r:id="rId6"/>
    <sheet name="Closure Rate" sheetId="7" r:id="rId7"/>
    <sheet name="ALLOCATED" sheetId="8" r:id="rId8"/>
    <sheet name="Phase 1" sheetId="9" r:id="rId9"/>
    <sheet name="Phase 2" sheetId="10" r:id="rId10"/>
    <sheet name="Phase 3" sheetId="11" r:id="rId11"/>
    <sheet name="earned premium" sheetId="12" r:id="rId12"/>
    <sheet name="Sheet14" sheetId="13" r:id="rId13"/>
    <sheet name="Sheet15" sheetId="14" r:id="rId14"/>
    <sheet name="Sheet16" sheetId="15" r:id="rId15"/>
  </sheets>
  <definedNames>
    <definedName name="_xlnm.Print_Area" localSheetId="4">'Adjuster Cost'!$B$1:$K$66</definedName>
    <definedName name="_xlnm.Print_Area" localSheetId="7">ALLOCATED!$A$1:$F$63</definedName>
    <definedName name="_xlnm.Print_Area" localSheetId="6">'Closure Rate'!$A$1:$G$62</definedName>
    <definedName name="_xlnm.Print_Area" localSheetId="5">'Med Only'!$A$1:$I$62</definedName>
    <definedName name="_xlnm.Print_Area" localSheetId="3">Staffing!$A$1:$V$67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5" l="1"/>
  <c r="G3" i="5"/>
  <c r="A6" i="5"/>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C2" i="8"/>
  <c r="F2" i="8"/>
  <c r="D2" i="8" s="1"/>
  <c r="Q2" i="8"/>
  <c r="S2" i="8" s="1"/>
  <c r="C3" i="8"/>
  <c r="D3" i="8"/>
  <c r="Q3" i="8"/>
  <c r="S3" i="8" s="1"/>
  <c r="C4" i="8"/>
  <c r="D4" i="8"/>
  <c r="Q4" i="8"/>
  <c r="S4" i="8" s="1"/>
  <c r="C5" i="8"/>
  <c r="D5" i="8"/>
  <c r="Q5" i="8"/>
  <c r="S5" i="8" s="1"/>
  <c r="C6" i="8"/>
  <c r="D6" i="8"/>
  <c r="Q6" i="8"/>
  <c r="S6" i="8" s="1"/>
  <c r="C7" i="8"/>
  <c r="D7" i="8"/>
  <c r="Q7" i="8"/>
  <c r="S7" i="8" s="1"/>
  <c r="C8" i="8"/>
  <c r="D8" i="8"/>
  <c r="Q8" i="8"/>
  <c r="S8" i="8" s="1"/>
  <c r="C9" i="8"/>
  <c r="D9" i="8"/>
  <c r="Q9" i="8"/>
  <c r="S9" i="8" s="1"/>
  <c r="C10" i="8"/>
  <c r="D10" i="8"/>
  <c r="C11" i="8"/>
  <c r="D11" i="8"/>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C28" i="8"/>
  <c r="D28" i="8"/>
  <c r="C29" i="8"/>
  <c r="D29" i="8"/>
  <c r="C30" i="8"/>
  <c r="D30" i="8"/>
  <c r="C31" i="8"/>
  <c r="D31" i="8"/>
  <c r="C32" i="8"/>
  <c r="D32" i="8"/>
  <c r="C33" i="8"/>
  <c r="D33" i="8"/>
  <c r="C34" i="8"/>
  <c r="D34" i="8"/>
  <c r="C35" i="8"/>
  <c r="D35" i="8"/>
  <c r="C36" i="8"/>
  <c r="D36" i="8"/>
  <c r="C37" i="8"/>
  <c r="D37" i="8"/>
  <c r="C38" i="8"/>
  <c r="D38" i="8"/>
  <c r="C39" i="8"/>
  <c r="D39" i="8"/>
  <c r="C40" i="8"/>
  <c r="D40" i="8"/>
  <c r="C41" i="8"/>
  <c r="D41" i="8"/>
  <c r="C42" i="8"/>
  <c r="D42" i="8"/>
  <c r="C43" i="8"/>
  <c r="D43" i="8"/>
  <c r="C44" i="8"/>
  <c r="D44" i="8"/>
  <c r="C45" i="8"/>
  <c r="D45" i="8"/>
  <c r="C46" i="8"/>
  <c r="D46" i="8"/>
  <c r="C47" i="8"/>
  <c r="D47" i="8"/>
  <c r="C48" i="8"/>
  <c r="D48" i="8"/>
  <c r="C49" i="8"/>
  <c r="D49" i="8"/>
  <c r="C50" i="8"/>
  <c r="D50" i="8"/>
  <c r="C51" i="8"/>
  <c r="D51" i="8"/>
  <c r="C52" i="8"/>
  <c r="D52" i="8"/>
  <c r="C53" i="8"/>
  <c r="D53" i="8"/>
  <c r="C54" i="8"/>
  <c r="D54" i="8"/>
  <c r="C55" i="8"/>
  <c r="D55" i="8"/>
  <c r="C56" i="8"/>
  <c r="D56" i="8"/>
  <c r="C57" i="8"/>
  <c r="D57" i="8"/>
  <c r="C58" i="8"/>
  <c r="D58" i="8"/>
  <c r="C59" i="8"/>
  <c r="D59" i="8"/>
  <c r="C60" i="8"/>
  <c r="D60" i="8"/>
  <c r="C61" i="8"/>
  <c r="D61" i="8"/>
  <c r="F2" i="7"/>
  <c r="C2" i="7" s="1"/>
  <c r="A3"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G161" i="7"/>
  <c r="E3" i="12"/>
  <c r="F3" i="12"/>
  <c r="G3" i="12"/>
  <c r="H3" i="12" s="1"/>
  <c r="I3" i="12"/>
  <c r="J3" i="12" s="1"/>
  <c r="K3" i="12" s="1"/>
  <c r="L3" i="12" s="1"/>
  <c r="M3" i="12" s="1"/>
  <c r="N3" i="12" s="1"/>
  <c r="O3" i="12" s="1"/>
  <c r="P3" i="12" s="1"/>
  <c r="Q3" i="12" s="1"/>
  <c r="R3" i="12" s="1"/>
  <c r="S3" i="12" s="1"/>
  <c r="T3" i="12" s="1"/>
  <c r="U3" i="12" s="1"/>
  <c r="V3" i="12" s="1"/>
  <c r="W3" i="12" s="1"/>
  <c r="X3" i="12" s="1"/>
  <c r="Y3" i="12" s="1"/>
  <c r="Z3" i="12" s="1"/>
  <c r="AA3" i="12" s="1"/>
  <c r="AB3" i="12" s="1"/>
  <c r="AC3" i="12" s="1"/>
  <c r="AD3" i="12" s="1"/>
  <c r="AE3" i="12" s="1"/>
  <c r="AF3" i="12" s="1"/>
  <c r="AG3" i="12" s="1"/>
  <c r="AH3" i="12" s="1"/>
  <c r="AI3" i="12" s="1"/>
  <c r="AJ3" i="12" s="1"/>
  <c r="AK3" i="12" s="1"/>
  <c r="AL3" i="12" s="1"/>
  <c r="AM3" i="12" s="1"/>
  <c r="AN3" i="12" s="1"/>
  <c r="AO3" i="12" s="1"/>
  <c r="AP3" i="12" s="1"/>
  <c r="AQ3" i="12" s="1"/>
  <c r="AR3" i="12" s="1"/>
  <c r="AS3" i="12"/>
  <c r="AT3" i="12" s="1"/>
  <c r="AU3" i="12" s="1"/>
  <c r="AV3" i="12" s="1"/>
  <c r="AW3" i="12" s="1"/>
  <c r="AX3" i="12" s="1"/>
  <c r="AY3" i="12" s="1"/>
  <c r="AZ3" i="12" s="1"/>
  <c r="BA3" i="12" s="1"/>
  <c r="BB3" i="12" s="1"/>
  <c r="BC3" i="12" s="1"/>
  <c r="BD3" i="12" s="1"/>
  <c r="BE3" i="12" s="1"/>
  <c r="BF3" i="12" s="1"/>
  <c r="BG3" i="12" s="1"/>
  <c r="BH3" i="12" s="1"/>
  <c r="BI3" i="12" s="1"/>
  <c r="BJ3" i="12" s="1"/>
  <c r="BK3" i="12" s="1"/>
  <c r="C4" i="12"/>
  <c r="D4" i="12"/>
  <c r="D2" i="12" s="1"/>
  <c r="E4" i="12"/>
  <c r="F4" i="12" s="1"/>
  <c r="A5" i="12"/>
  <c r="C5" i="12"/>
  <c r="I5" i="12"/>
  <c r="A6" i="12"/>
  <c r="A7" i="12" s="1"/>
  <c r="I6" i="12"/>
  <c r="A8" i="12"/>
  <c r="A9" i="12" s="1"/>
  <c r="A10" i="12" s="1"/>
  <c r="A11" i="12" s="1"/>
  <c r="A12" i="12" s="1"/>
  <c r="A13" i="12" s="1"/>
  <c r="A14" i="12" s="1"/>
  <c r="A15" i="12" s="1"/>
  <c r="A16" i="12" s="1"/>
  <c r="A17" i="12" s="1"/>
  <c r="A18" i="12" s="1"/>
  <c r="A19" i="12" s="1"/>
  <c r="A20" i="12" s="1"/>
  <c r="A21" i="12" s="1"/>
  <c r="A22" i="12" s="1"/>
  <c r="A23" i="12" s="1"/>
  <c r="A24" i="12" s="1"/>
  <c r="A25" i="12" s="1"/>
  <c r="A26" i="12" s="1"/>
  <c r="A27" i="12" s="1"/>
  <c r="A28" i="12"/>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C3" i="3"/>
  <c r="C4" i="3"/>
  <c r="A8" i="3"/>
  <c r="B8" i="3"/>
  <c r="A9" i="3"/>
  <c r="B9" i="3"/>
  <c r="B11" i="3"/>
  <c r="C12" i="3"/>
  <c r="C13" i="3"/>
  <c r="C14" i="3" s="1"/>
  <c r="C15" i="3"/>
  <c r="C16" i="3" s="1"/>
  <c r="C17" i="3" s="1"/>
  <c r="C18" i="3" s="1"/>
  <c r="C19" i="3" s="1"/>
  <c r="C20" i="3" s="1"/>
  <c r="C21" i="3" s="1"/>
  <c r="C22" i="3" s="1"/>
  <c r="C23" i="3" s="1"/>
  <c r="C24" i="3" s="1"/>
  <c r="B30" i="3"/>
  <c r="C31" i="3"/>
  <c r="A32" i="3"/>
  <c r="A33" i="3"/>
  <c r="B33" i="3"/>
  <c r="A3" i="6"/>
  <c r="E3" i="9"/>
  <c r="E4" i="9"/>
  <c r="E5" i="9"/>
  <c r="E6" i="9"/>
  <c r="E7" i="9"/>
  <c r="E8" i="9"/>
  <c r="E9" i="9"/>
  <c r="E10" i="9"/>
  <c r="E11" i="9"/>
  <c r="E12" i="9"/>
  <c r="E13" i="9"/>
  <c r="E14" i="9"/>
  <c r="E15" i="9"/>
  <c r="E16" i="9"/>
  <c r="E3" i="10"/>
  <c r="E4" i="10"/>
  <c r="E5" i="10"/>
  <c r="E6" i="10"/>
  <c r="E7" i="10"/>
  <c r="E8" i="10"/>
  <c r="E9" i="10"/>
  <c r="E10" i="10"/>
  <c r="E11" i="10"/>
  <c r="E12" i="10"/>
  <c r="E13" i="10"/>
  <c r="E14" i="10"/>
  <c r="E15" i="10"/>
  <c r="E16" i="10"/>
  <c r="E17" i="10"/>
  <c r="E18" i="10"/>
  <c r="E3" i="11"/>
  <c r="E4" i="11"/>
  <c r="E5" i="11"/>
  <c r="E6" i="11"/>
  <c r="E7" i="11"/>
  <c r="E8" i="11"/>
  <c r="E9" i="11"/>
  <c r="E10" i="11"/>
  <c r="E11" i="11"/>
  <c r="E12" i="11"/>
  <c r="E13" i="11"/>
  <c r="E14" i="11"/>
  <c r="E15" i="11"/>
  <c r="E16" i="11"/>
  <c r="E17" i="11"/>
  <c r="E18" i="11"/>
  <c r="E19" i="11"/>
  <c r="E20" i="11"/>
  <c r="E21" i="11"/>
  <c r="E22" i="11"/>
  <c r="E23" i="11"/>
  <c r="E24" i="11"/>
  <c r="B3" i="2"/>
  <c r="E2" i="4" s="1"/>
  <c r="B3" i="3" s="1"/>
  <c r="B6" i="2"/>
  <c r="B4" i="2" s="1"/>
  <c r="I9" i="2"/>
  <c r="J10" i="2"/>
  <c r="K10" i="2"/>
  <c r="K12" i="2" s="1"/>
  <c r="K13" i="2" s="1"/>
  <c r="D11" i="2"/>
  <c r="I11" i="2"/>
  <c r="J12" i="2"/>
  <c r="J13" i="2" s="1"/>
  <c r="I13" i="2"/>
  <c r="E20" i="2"/>
  <c r="E21" i="2"/>
  <c r="B22" i="2"/>
  <c r="L4" i="4" s="1"/>
  <c r="C22" i="2"/>
  <c r="E22" i="2" s="1"/>
  <c r="D22" i="2"/>
  <c r="D23" i="2"/>
  <c r="E23" i="2"/>
  <c r="B24" i="2"/>
  <c r="B25" i="2"/>
  <c r="A28" i="2"/>
  <c r="D1" i="12" s="1"/>
  <c r="F1" i="12" s="1"/>
  <c r="B5" i="12" s="1"/>
  <c r="B6" i="12" s="1"/>
  <c r="D29" i="2"/>
  <c r="H46" i="2"/>
  <c r="C2" i="4"/>
  <c r="G2" i="4"/>
  <c r="M2" i="4"/>
  <c r="N2" i="4"/>
  <c r="C3" i="4"/>
  <c r="E3" i="4"/>
  <c r="B4" i="3" s="1"/>
  <c r="I3" i="4"/>
  <c r="M3" i="4"/>
  <c r="N3" i="4"/>
  <c r="O3" i="4"/>
  <c r="Q3" i="4"/>
  <c r="R3" i="4"/>
  <c r="T3" i="4"/>
  <c r="U3" i="4"/>
  <c r="E4" i="4"/>
  <c r="N4" i="4"/>
  <c r="T4" i="4"/>
  <c r="U4" i="4"/>
  <c r="M5" i="4"/>
  <c r="N5" i="4"/>
  <c r="O5" i="4"/>
  <c r="Q5" i="4"/>
  <c r="R5" i="4"/>
  <c r="T5" i="4"/>
  <c r="U5" i="4"/>
  <c r="B8" i="4"/>
  <c r="C8" i="4"/>
  <c r="A9" i="4"/>
  <c r="A4" i="6" s="1"/>
  <c r="A10" i="4"/>
  <c r="B23" i="1"/>
  <c r="M4" i="4" l="1"/>
  <c r="O4" i="4" s="1"/>
  <c r="P4" i="4" s="1"/>
  <c r="P3" i="4"/>
  <c r="E1" i="11"/>
  <c r="B23" i="2" s="1"/>
  <c r="E1" i="9"/>
  <c r="B20" i="2" s="1"/>
  <c r="E1" i="10"/>
  <c r="B21" i="2" s="1"/>
  <c r="L3" i="4" s="1"/>
  <c r="A11" i="4"/>
  <c r="A5" i="6"/>
  <c r="F22" i="2"/>
  <c r="I1" i="6"/>
  <c r="O2" i="4"/>
  <c r="F31" i="2"/>
  <c r="D31" i="2"/>
  <c r="D33" i="2" s="1"/>
  <c r="I5" i="5"/>
  <c r="B3" i="6"/>
  <c r="D8" i="4"/>
  <c r="B31" i="3"/>
  <c r="D31" i="3" s="1"/>
  <c r="D4" i="3"/>
  <c r="D3" i="3"/>
  <c r="F6" i="12"/>
  <c r="L6" i="12"/>
  <c r="C6" i="12"/>
  <c r="M6" i="12"/>
  <c r="G6" i="12"/>
  <c r="N6" i="12"/>
  <c r="H6" i="12"/>
  <c r="O6" i="12"/>
  <c r="J6" i="12"/>
  <c r="Q6" i="12"/>
  <c r="P6" i="12"/>
  <c r="B7" i="12"/>
  <c r="K6" i="12"/>
  <c r="B32" i="3"/>
  <c r="H5" i="12"/>
  <c r="N5" i="12"/>
  <c r="E5" i="12"/>
  <c r="E2" i="12" s="1"/>
  <c r="B9" i="4" s="1"/>
  <c r="L5" i="12"/>
  <c r="F5" i="12"/>
  <c r="M5" i="12"/>
  <c r="G5" i="12"/>
  <c r="O5" i="12"/>
  <c r="J5" i="12"/>
  <c r="P5" i="12"/>
  <c r="K5" i="12"/>
  <c r="F2" i="12"/>
  <c r="B10" i="4" s="1"/>
  <c r="G4" i="12"/>
  <c r="B3" i="7"/>
  <c r="D2" i="7"/>
  <c r="E2" i="7" s="1"/>
  <c r="S10" i="8"/>
  <c r="D62" i="8"/>
  <c r="D63" i="8" s="1"/>
  <c r="F20" i="2" l="1"/>
  <c r="L2" i="4"/>
  <c r="F30" i="2"/>
  <c r="G31" i="2"/>
  <c r="F32" i="2"/>
  <c r="I7" i="5"/>
  <c r="D10" i="4"/>
  <c r="B5" i="6"/>
  <c r="F5" i="6" s="1"/>
  <c r="C10" i="4"/>
  <c r="E8" i="4"/>
  <c r="P2" i="4"/>
  <c r="I8" i="4" s="1"/>
  <c r="L5" i="4"/>
  <c r="P5" i="4" s="1"/>
  <c r="F23" i="2"/>
  <c r="C3" i="6"/>
  <c r="D3" i="6" s="1"/>
  <c r="E3" i="6" s="1"/>
  <c r="F3" i="6"/>
  <c r="H3" i="6" s="1"/>
  <c r="I3" i="6" s="1"/>
  <c r="R8" i="4" s="1"/>
  <c r="J7" i="12"/>
  <c r="P7" i="12"/>
  <c r="C7" i="12"/>
  <c r="M7" i="12"/>
  <c r="B8" i="12"/>
  <c r="G7" i="12"/>
  <c r="N7" i="12"/>
  <c r="H7" i="12"/>
  <c r="O7" i="12"/>
  <c r="K7" i="12"/>
  <c r="R7" i="12"/>
  <c r="I7" i="12"/>
  <c r="L7" i="12"/>
  <c r="Q7" i="12"/>
  <c r="F21" i="2"/>
  <c r="G2" i="12"/>
  <c r="B11" i="4" s="1"/>
  <c r="H4" i="12"/>
  <c r="S14" i="8"/>
  <c r="S11" i="8"/>
  <c r="C3" i="7"/>
  <c r="D3" i="7" s="1"/>
  <c r="E3" i="7" s="1"/>
  <c r="B4" i="7"/>
  <c r="I6" i="5"/>
  <c r="C9" i="4"/>
  <c r="D9" i="4"/>
  <c r="B4" i="6"/>
  <c r="F4" i="6" s="1"/>
  <c r="D5" i="3"/>
  <c r="B6" i="3" s="1"/>
  <c r="C13" i="2" s="1"/>
  <c r="E30" i="2"/>
  <c r="E32" i="2"/>
  <c r="E29" i="2"/>
  <c r="E34" i="2"/>
  <c r="E33" i="2"/>
  <c r="A6" i="6"/>
  <c r="A12" i="4"/>
  <c r="G4" i="6" l="1"/>
  <c r="C4" i="6"/>
  <c r="J8" i="4"/>
  <c r="H4" i="6"/>
  <c r="I4" i="6" s="1"/>
  <c r="R9" i="4" s="1"/>
  <c r="O12" i="8"/>
  <c r="O13" i="8"/>
  <c r="G8" i="4"/>
  <c r="H8" i="4" s="1"/>
  <c r="F8" i="4" s="1"/>
  <c r="H2" i="12"/>
  <c r="B12" i="4" s="1"/>
  <c r="I4" i="12"/>
  <c r="I8" i="5"/>
  <c r="D11" i="4"/>
  <c r="B6" i="6"/>
  <c r="F6" i="6" s="1"/>
  <c r="C11" i="4"/>
  <c r="I10" i="4"/>
  <c r="I9" i="4"/>
  <c r="E9" i="4"/>
  <c r="F29" i="2"/>
  <c r="G29" i="2" s="1"/>
  <c r="G30" i="2"/>
  <c r="A7" i="6"/>
  <c r="A13" i="4"/>
  <c r="C4" i="7"/>
  <c r="D4" i="7" s="1"/>
  <c r="E4" i="7" s="1"/>
  <c r="H8" i="12"/>
  <c r="N8" i="12"/>
  <c r="M8" i="12"/>
  <c r="B9" i="12"/>
  <c r="C8" i="12"/>
  <c r="O8" i="12"/>
  <c r="I8" i="12"/>
  <c r="P8" i="12"/>
  <c r="K8" i="12"/>
  <c r="R8" i="12"/>
  <c r="J8" i="12"/>
  <c r="L8" i="12"/>
  <c r="Q8" i="12"/>
  <c r="S8" i="12"/>
  <c r="F33" i="2"/>
  <c r="G32" i="2"/>
  <c r="C37" i="2" s="1"/>
  <c r="M8" i="4" l="1"/>
  <c r="N8" i="4" s="1"/>
  <c r="K8" i="4"/>
  <c r="E37" i="2"/>
  <c r="F37" i="2"/>
  <c r="V8" i="4" s="1"/>
  <c r="D5" i="5" s="1"/>
  <c r="I9" i="5"/>
  <c r="C12" i="4"/>
  <c r="D12" i="4"/>
  <c r="B7" i="6"/>
  <c r="V9" i="4"/>
  <c r="D6" i="5" s="1"/>
  <c r="L9" i="12"/>
  <c r="R9" i="12"/>
  <c r="N9" i="12"/>
  <c r="C9" i="12"/>
  <c r="O9" i="12"/>
  <c r="B10" i="12"/>
  <c r="I9" i="12"/>
  <c r="P9" i="12"/>
  <c r="K9" i="12"/>
  <c r="S9" i="12"/>
  <c r="Q9" i="12"/>
  <c r="T9" i="12"/>
  <c r="M9" i="12"/>
  <c r="J9" i="12"/>
  <c r="B5" i="7"/>
  <c r="F9" i="4"/>
  <c r="G9" i="4"/>
  <c r="H9" i="4" s="1"/>
  <c r="B37" i="2"/>
  <c r="J9" i="4"/>
  <c r="I11" i="4"/>
  <c r="E11" i="4"/>
  <c r="F34" i="2"/>
  <c r="G34" i="2" s="1"/>
  <c r="G33" i="2"/>
  <c r="D37" i="2" s="1"/>
  <c r="A8" i="6"/>
  <c r="A14" i="4"/>
  <c r="J10" i="4"/>
  <c r="D4" i="6"/>
  <c r="E4" i="6" s="1"/>
  <c r="E10" i="4"/>
  <c r="J4" i="12"/>
  <c r="I2" i="12"/>
  <c r="C5" i="6" l="1"/>
  <c r="G5" i="6"/>
  <c r="H5" i="6" s="1"/>
  <c r="I5" i="6" s="1"/>
  <c r="R10" i="4" s="1"/>
  <c r="J11" i="4"/>
  <c r="F7" i="6"/>
  <c r="J10" i="12"/>
  <c r="P10" i="12"/>
  <c r="N10" i="12"/>
  <c r="U10" i="12"/>
  <c r="O10" i="12"/>
  <c r="B11" i="12"/>
  <c r="C10" i="12"/>
  <c r="Q10" i="12"/>
  <c r="L10" i="12"/>
  <c r="S10" i="12"/>
  <c r="K10" i="12"/>
  <c r="M10" i="12"/>
  <c r="R10" i="12"/>
  <c r="T10" i="12"/>
  <c r="B13" i="4"/>
  <c r="J2" i="12"/>
  <c r="B14" i="4" s="1"/>
  <c r="K4" i="12"/>
  <c r="K9" i="4"/>
  <c r="M9" i="4"/>
  <c r="N9" i="4" s="1"/>
  <c r="I12" i="4"/>
  <c r="E12" i="4"/>
  <c r="C5" i="7"/>
  <c r="D5" i="7" s="1"/>
  <c r="E5" i="7" s="1"/>
  <c r="L8" i="4"/>
  <c r="O8" i="4"/>
  <c r="P8" i="4" s="1"/>
  <c r="F10" i="4"/>
  <c r="G10" i="4"/>
  <c r="H10" i="4" s="1"/>
  <c r="F11" i="4" s="1"/>
  <c r="A9" i="6"/>
  <c r="A15" i="4"/>
  <c r="G37" i="2"/>
  <c r="M11" i="4" l="1"/>
  <c r="N11" i="4" s="1"/>
  <c r="K11" i="4"/>
  <c r="Q8" i="4"/>
  <c r="J12" i="4"/>
  <c r="L4" i="12"/>
  <c r="F12" i="4"/>
  <c r="A10" i="6"/>
  <c r="A16" i="4"/>
  <c r="T8" i="4"/>
  <c r="B5" i="5" s="1"/>
  <c r="I11" i="5"/>
  <c r="D14" i="4"/>
  <c r="B9" i="6"/>
  <c r="F9" i="6" s="1"/>
  <c r="L9" i="4"/>
  <c r="T9" i="4" s="1"/>
  <c r="B6" i="5" s="1"/>
  <c r="O9" i="4"/>
  <c r="P9" i="4" s="1"/>
  <c r="N11" i="12"/>
  <c r="T11" i="12"/>
  <c r="O11" i="12"/>
  <c r="V11" i="12"/>
  <c r="P11" i="12"/>
  <c r="C11" i="12"/>
  <c r="Q11" i="12"/>
  <c r="B12" i="12"/>
  <c r="L11" i="12"/>
  <c r="S11" i="12"/>
  <c r="K11" i="12"/>
  <c r="K2" i="12" s="1"/>
  <c r="B15" i="4" s="1"/>
  <c r="M11" i="12"/>
  <c r="R11" i="12"/>
  <c r="U11" i="12"/>
  <c r="B6" i="7"/>
  <c r="I10" i="5"/>
  <c r="D13" i="4"/>
  <c r="B8" i="6"/>
  <c r="C13" i="4"/>
  <c r="C14" i="4" s="1"/>
  <c r="G11" i="4"/>
  <c r="H11" i="4" s="1"/>
  <c r="G12" i="4" s="1"/>
  <c r="H12" i="4" s="1"/>
  <c r="K10" i="4"/>
  <c r="M10" i="4"/>
  <c r="N10" i="4" s="1"/>
  <c r="V10" i="4"/>
  <c r="D7" i="5" s="1"/>
  <c r="D5" i="6"/>
  <c r="E5" i="6" s="1"/>
  <c r="G6" i="6" l="1"/>
  <c r="H6" i="6" s="1"/>
  <c r="I6" i="6" s="1"/>
  <c r="R11" i="4" s="1"/>
  <c r="C6" i="6"/>
  <c r="I12" i="5"/>
  <c r="C15" i="4"/>
  <c r="D15" i="4"/>
  <c r="B10" i="6"/>
  <c r="F10" i="6" s="1"/>
  <c r="K12" i="4"/>
  <c r="M12" i="4"/>
  <c r="N12" i="4" s="1"/>
  <c r="E13" i="4"/>
  <c r="I13" i="4"/>
  <c r="L12" i="12"/>
  <c r="R12" i="12"/>
  <c r="O12" i="12"/>
  <c r="V12" i="12"/>
  <c r="P12" i="12"/>
  <c r="W12" i="12"/>
  <c r="Q12" i="12"/>
  <c r="B13" i="12"/>
  <c r="M12" i="12"/>
  <c r="T12" i="12"/>
  <c r="S12" i="12"/>
  <c r="U12" i="12"/>
  <c r="C12" i="12"/>
  <c r="N12" i="12"/>
  <c r="E14" i="4"/>
  <c r="I14" i="4"/>
  <c r="M4" i="12"/>
  <c r="L2" i="12"/>
  <c r="B16" i="4" s="1"/>
  <c r="U8" i="4"/>
  <c r="C5" i="5" s="1"/>
  <c r="Q9" i="4"/>
  <c r="U9" i="4" s="1"/>
  <c r="C6" i="5" s="1"/>
  <c r="E6" i="5" s="1"/>
  <c r="S9" i="4"/>
  <c r="L10" i="4"/>
  <c r="T10" i="4" s="1"/>
  <c r="B7" i="5" s="1"/>
  <c r="O10" i="4"/>
  <c r="P10" i="4" s="1"/>
  <c r="B7" i="7"/>
  <c r="C6" i="7"/>
  <c r="D6" i="7" s="1"/>
  <c r="E6" i="7" s="1"/>
  <c r="A17" i="4"/>
  <c r="A11" i="6"/>
  <c r="L11" i="4"/>
  <c r="T11" i="4" s="1"/>
  <c r="B8" i="5" s="1"/>
  <c r="O11" i="4"/>
  <c r="P11" i="4" s="1"/>
  <c r="F8" i="6"/>
  <c r="S8" i="4"/>
  <c r="G6" i="5" l="1"/>
  <c r="F6" i="5"/>
  <c r="S11" i="4"/>
  <c r="Q11" i="4"/>
  <c r="U11" i="4" s="1"/>
  <c r="C8" i="5" s="1"/>
  <c r="J14" i="4"/>
  <c r="I15" i="4"/>
  <c r="E15" i="4"/>
  <c r="F13" i="4"/>
  <c r="G13" i="4"/>
  <c r="H13" i="4" s="1"/>
  <c r="Q10" i="4"/>
  <c r="S10" i="4" s="1"/>
  <c r="M2" i="12"/>
  <c r="B17" i="4" s="1"/>
  <c r="N4" i="12"/>
  <c r="P13" i="12"/>
  <c r="V13" i="12"/>
  <c r="O13" i="12"/>
  <c r="W13" i="12"/>
  <c r="Q13" i="12"/>
  <c r="X13" i="12"/>
  <c r="R13" i="12"/>
  <c r="M13" i="12"/>
  <c r="T13" i="12"/>
  <c r="B14" i="12"/>
  <c r="C13" i="12"/>
  <c r="N13" i="12"/>
  <c r="U13" i="12"/>
  <c r="S13" i="12"/>
  <c r="D6" i="6"/>
  <c r="E6" i="6" s="1"/>
  <c r="E8" i="5"/>
  <c r="I13" i="5"/>
  <c r="D16" i="4"/>
  <c r="B11" i="6"/>
  <c r="C16" i="4"/>
  <c r="A12" i="6"/>
  <c r="A18" i="4"/>
  <c r="E5" i="5"/>
  <c r="L12" i="4"/>
  <c r="T12" i="4" s="1"/>
  <c r="B9" i="5" s="1"/>
  <c r="O12" i="4"/>
  <c r="P12" i="4" s="1"/>
  <c r="V11" i="4"/>
  <c r="D8" i="5" s="1"/>
  <c r="C7" i="7"/>
  <c r="D7" i="7" s="1"/>
  <c r="E7" i="7" s="1"/>
  <c r="F14" i="4"/>
  <c r="G14" i="4"/>
  <c r="H14" i="4" s="1"/>
  <c r="J13" i="4"/>
  <c r="C7" i="6" l="1"/>
  <c r="G7" i="6"/>
  <c r="H7" i="6" s="1"/>
  <c r="I7" i="6" s="1"/>
  <c r="R12" i="4" s="1"/>
  <c r="F5" i="5"/>
  <c r="G5" i="5"/>
  <c r="A13" i="6"/>
  <c r="A19" i="4"/>
  <c r="Q12" i="4"/>
  <c r="U12" i="4" s="1"/>
  <c r="C9" i="5" s="1"/>
  <c r="S12" i="4"/>
  <c r="M14" i="4"/>
  <c r="N14" i="4" s="1"/>
  <c r="K14" i="4"/>
  <c r="F11" i="6"/>
  <c r="K13" i="4"/>
  <c r="M13" i="4"/>
  <c r="N13" i="4" s="1"/>
  <c r="E16" i="4"/>
  <c r="I16" i="4"/>
  <c r="U10" i="4"/>
  <c r="C7" i="5" s="1"/>
  <c r="F15" i="4"/>
  <c r="G15" i="4"/>
  <c r="H15" i="4" s="1"/>
  <c r="B8" i="7"/>
  <c r="J15" i="4"/>
  <c r="F8" i="5"/>
  <c r="G8" i="5"/>
  <c r="O4" i="12"/>
  <c r="N14" i="12"/>
  <c r="N2" i="12" s="1"/>
  <c r="B18" i="4" s="1"/>
  <c r="T14" i="12"/>
  <c r="P14" i="12"/>
  <c r="W14" i="12"/>
  <c r="Q14" i="12"/>
  <c r="X14" i="12"/>
  <c r="R14" i="12"/>
  <c r="Y14" i="12"/>
  <c r="C14" i="12"/>
  <c r="U14" i="12"/>
  <c r="O14" i="12"/>
  <c r="S14" i="12"/>
  <c r="V14" i="12"/>
  <c r="B15" i="12"/>
  <c r="I14" i="5"/>
  <c r="B12" i="6"/>
  <c r="F12" i="6" s="1"/>
  <c r="C17" i="4"/>
  <c r="D17" i="4"/>
  <c r="H6" i="5"/>
  <c r="J6" i="5"/>
  <c r="K6" i="5" s="1"/>
  <c r="I15" i="5" l="1"/>
  <c r="D18" i="4"/>
  <c r="C18" i="4"/>
  <c r="B13" i="6"/>
  <c r="F13" i="6" s="1"/>
  <c r="E9" i="5"/>
  <c r="K15" i="4"/>
  <c r="M15" i="4"/>
  <c r="N15" i="4" s="1"/>
  <c r="H8" i="5"/>
  <c r="J8" i="5"/>
  <c r="K8" i="5" s="1"/>
  <c r="E7" i="5"/>
  <c r="A14" i="6"/>
  <c r="A20" i="4"/>
  <c r="H5" i="5"/>
  <c r="J5" i="5"/>
  <c r="K5" i="5" s="1"/>
  <c r="R15" i="12"/>
  <c r="X15" i="12"/>
  <c r="P15" i="12"/>
  <c r="W15" i="12"/>
  <c r="Q15" i="12"/>
  <c r="Y15" i="12"/>
  <c r="S15" i="12"/>
  <c r="Z15" i="12"/>
  <c r="C15" i="12"/>
  <c r="U15" i="12"/>
  <c r="B16" i="12"/>
  <c r="T15" i="12"/>
  <c r="V15" i="12"/>
  <c r="O15" i="12"/>
  <c r="L13" i="4"/>
  <c r="O13" i="4"/>
  <c r="P13" i="4" s="1"/>
  <c r="I17" i="4"/>
  <c r="E17" i="4"/>
  <c r="V12" i="4"/>
  <c r="D9" i="5" s="1"/>
  <c r="O2" i="12"/>
  <c r="J16" i="4"/>
  <c r="C8" i="7"/>
  <c r="D8" i="7" s="1"/>
  <c r="E8" i="7" s="1"/>
  <c r="B9" i="7"/>
  <c r="F16" i="4"/>
  <c r="G16" i="4"/>
  <c r="H16" i="4" s="1"/>
  <c r="L14" i="4"/>
  <c r="T14" i="4" s="1"/>
  <c r="B11" i="5" s="1"/>
  <c r="O14" i="4"/>
  <c r="P14" i="4" s="1"/>
  <c r="D7" i="6"/>
  <c r="E7" i="6"/>
  <c r="G8" i="6" l="1"/>
  <c r="H8" i="6" s="1"/>
  <c r="I8" i="6" s="1"/>
  <c r="R13" i="4" s="1"/>
  <c r="V13" i="4" s="1"/>
  <c r="D10" i="5" s="1"/>
  <c r="C8" i="6"/>
  <c r="P16" i="12"/>
  <c r="P2" i="12" s="1"/>
  <c r="V16" i="12"/>
  <c r="Q16" i="12"/>
  <c r="X16" i="12"/>
  <c r="R16" i="12"/>
  <c r="Y16" i="12"/>
  <c r="S16" i="12"/>
  <c r="Z16" i="12"/>
  <c r="U16" i="12"/>
  <c r="B17" i="12"/>
  <c r="AA16" i="12"/>
  <c r="C16" i="12"/>
  <c r="T16" i="12"/>
  <c r="W16" i="12"/>
  <c r="Q13" i="4"/>
  <c r="S13" i="4"/>
  <c r="C9" i="7"/>
  <c r="D9" i="7" s="1"/>
  <c r="E9" i="7" s="1"/>
  <c r="B10" i="7"/>
  <c r="J17" i="4"/>
  <c r="B19" i="4"/>
  <c r="O1" i="12"/>
  <c r="Q14" i="4"/>
  <c r="U14" i="4" s="1"/>
  <c r="C11" i="5" s="1"/>
  <c r="T13" i="4"/>
  <c r="B10" i="5" s="1"/>
  <c r="G7" i="5"/>
  <c r="F7" i="5"/>
  <c r="F9" i="5"/>
  <c r="G9" i="5"/>
  <c r="A15" i="6"/>
  <c r="A21" i="4"/>
  <c r="K16" i="4"/>
  <c r="M16" i="4"/>
  <c r="N16" i="4" s="1"/>
  <c r="F17" i="4"/>
  <c r="G17" i="4"/>
  <c r="H17" i="4" s="1"/>
  <c r="I18" i="4"/>
  <c r="E18" i="4"/>
  <c r="L15" i="4"/>
  <c r="T15" i="4" s="1"/>
  <c r="B12" i="5" s="1"/>
  <c r="O15" i="4"/>
  <c r="P15" i="4" s="1"/>
  <c r="B20" i="4" l="1"/>
  <c r="B11" i="7"/>
  <c r="C10" i="7"/>
  <c r="D10" i="7" s="1"/>
  <c r="E10" i="7" s="1"/>
  <c r="Q15" i="4"/>
  <c r="U15" i="4" s="1"/>
  <c r="C12" i="5" s="1"/>
  <c r="T17" i="12"/>
  <c r="Z17" i="12"/>
  <c r="Q17" i="12"/>
  <c r="Q2" i="12" s="1"/>
  <c r="B21" i="4" s="1"/>
  <c r="X17" i="12"/>
  <c r="R17" i="12"/>
  <c r="Y17" i="12"/>
  <c r="S17" i="12"/>
  <c r="AA17" i="12"/>
  <c r="V17" i="12"/>
  <c r="C17" i="12"/>
  <c r="U17" i="12"/>
  <c r="W17" i="12"/>
  <c r="B18" i="12"/>
  <c r="AB17" i="12"/>
  <c r="D8" i="6"/>
  <c r="E8" i="6"/>
  <c r="L16" i="4"/>
  <c r="O16" i="4"/>
  <c r="P16" i="4" s="1"/>
  <c r="A16" i="6"/>
  <c r="A22" i="4"/>
  <c r="I16" i="5"/>
  <c r="D19" i="4"/>
  <c r="B14" i="6"/>
  <c r="F14" i="6" s="1"/>
  <c r="C19" i="4"/>
  <c r="B29" i="2" s="1"/>
  <c r="U13" i="4"/>
  <c r="C10" i="5" s="1"/>
  <c r="E10" i="5"/>
  <c r="K17" i="4"/>
  <c r="M17" i="4"/>
  <c r="N17" i="4" s="1"/>
  <c r="H9" i="5"/>
  <c r="J9" i="5"/>
  <c r="K9" i="5" s="1"/>
  <c r="G18" i="4"/>
  <c r="H18" i="4" s="1"/>
  <c r="F18" i="4"/>
  <c r="J18" i="4"/>
  <c r="H7" i="5"/>
  <c r="J7" i="5"/>
  <c r="K7" i="5" s="1"/>
  <c r="I19" i="4" l="1"/>
  <c r="E19" i="4"/>
  <c r="C9" i="6"/>
  <c r="G9" i="6"/>
  <c r="H9" i="6" s="1"/>
  <c r="I9" i="6" s="1"/>
  <c r="R14" i="4" s="1"/>
  <c r="F10" i="5"/>
  <c r="G10" i="5"/>
  <c r="C11" i="7"/>
  <c r="D11" i="7" s="1"/>
  <c r="E11" i="7" s="1"/>
  <c r="A17" i="6"/>
  <c r="A23" i="4"/>
  <c r="I17" i="5"/>
  <c r="B15" i="6"/>
  <c r="F15" i="6" s="1"/>
  <c r="C20" i="4"/>
  <c r="D20" i="4"/>
  <c r="R18" i="12"/>
  <c r="R2" i="12" s="1"/>
  <c r="B22" i="4" s="1"/>
  <c r="X18" i="12"/>
  <c r="C18" i="12"/>
  <c r="Y18" i="12"/>
  <c r="S18" i="12"/>
  <c r="Z18" i="12"/>
  <c r="T18" i="12"/>
  <c r="AA18" i="12"/>
  <c r="V18" i="12"/>
  <c r="AC18" i="12"/>
  <c r="U18" i="12"/>
  <c r="W18" i="12"/>
  <c r="AB18" i="12"/>
  <c r="B19" i="12"/>
  <c r="J46" i="2"/>
  <c r="Q16" i="4"/>
  <c r="I18" i="5"/>
  <c r="C21" i="4"/>
  <c r="D21" i="4"/>
  <c r="B16" i="6"/>
  <c r="F16" i="6" s="1"/>
  <c r="K18" i="4"/>
  <c r="M18" i="4"/>
  <c r="N18" i="4" s="1"/>
  <c r="L17" i="4"/>
  <c r="T17" i="4" s="1"/>
  <c r="B14" i="5" s="1"/>
  <c r="O17" i="4"/>
  <c r="P17" i="4" s="1"/>
  <c r="T16" i="4"/>
  <c r="B13" i="5" s="1"/>
  <c r="I21" i="4" l="1"/>
  <c r="E21" i="4"/>
  <c r="A18" i="6"/>
  <c r="A24" i="4"/>
  <c r="V19" i="12"/>
  <c r="AB19" i="12"/>
  <c r="C19" i="12"/>
  <c r="Y19" i="12"/>
  <c r="B20" i="12"/>
  <c r="S19" i="12"/>
  <c r="S2" i="12" s="1"/>
  <c r="Z19" i="12"/>
  <c r="T19" i="12"/>
  <c r="AA19" i="12"/>
  <c r="W19" i="12"/>
  <c r="AD19" i="12"/>
  <c r="AC19" i="12"/>
  <c r="U19" i="12"/>
  <c r="X19" i="12"/>
  <c r="I19" i="5"/>
  <c r="B17" i="6"/>
  <c r="F17" i="6" s="1"/>
  <c r="C22" i="4"/>
  <c r="D22" i="4"/>
  <c r="B12" i="7"/>
  <c r="G19" i="4"/>
  <c r="H19" i="4" s="1"/>
  <c r="F19" i="4"/>
  <c r="E20" i="4"/>
  <c r="I20" i="4"/>
  <c r="D9" i="6"/>
  <c r="E9" i="6"/>
  <c r="L18" i="4"/>
  <c r="T18" i="4" s="1"/>
  <c r="B15" i="5" s="1"/>
  <c r="O18" i="4"/>
  <c r="P18" i="4" s="1"/>
  <c r="U16" i="4"/>
  <c r="C13" i="5" s="1"/>
  <c r="J19" i="4"/>
  <c r="Q17" i="4"/>
  <c r="U17" i="4" s="1"/>
  <c r="C14" i="5" s="1"/>
  <c r="V14" i="4"/>
  <c r="D11" i="5" s="1"/>
  <c r="S14" i="4"/>
  <c r="H10" i="5"/>
  <c r="J10" i="5"/>
  <c r="K10" i="5" s="1"/>
  <c r="E11" i="5" l="1"/>
  <c r="C12" i="7"/>
  <c r="D12" i="7" s="1"/>
  <c r="E12" i="7" s="1"/>
  <c r="Q18" i="4"/>
  <c r="U18" i="4" s="1"/>
  <c r="C15" i="5" s="1"/>
  <c r="F20" i="4"/>
  <c r="G20" i="4"/>
  <c r="H20" i="4" s="1"/>
  <c r="F21" i="4" s="1"/>
  <c r="B23" i="4"/>
  <c r="K19" i="4"/>
  <c r="M19" i="4"/>
  <c r="N19" i="4" s="1"/>
  <c r="D38" i="2" s="1"/>
  <c r="T20" i="12"/>
  <c r="T2" i="12" s="1"/>
  <c r="B24" i="4" s="1"/>
  <c r="Z20" i="12"/>
  <c r="Y20" i="12"/>
  <c r="B21" i="12"/>
  <c r="C20" i="12"/>
  <c r="AA20" i="12"/>
  <c r="U20" i="12"/>
  <c r="AB20" i="12"/>
  <c r="W20" i="12"/>
  <c r="AD20" i="12"/>
  <c r="V20" i="12"/>
  <c r="X20" i="12"/>
  <c r="AC20" i="12"/>
  <c r="AE20" i="12"/>
  <c r="A19" i="6"/>
  <c r="A25" i="4"/>
  <c r="G21" i="4"/>
  <c r="H21" i="4" s="1"/>
  <c r="J20" i="4"/>
  <c r="J21" i="4"/>
  <c r="G10" i="6"/>
  <c r="H10" i="6" s="1"/>
  <c r="I10" i="6" s="1"/>
  <c r="R15" i="4" s="1"/>
  <c r="C10" i="6"/>
  <c r="I22" i="4"/>
  <c r="E22" i="4"/>
  <c r="B38" i="2"/>
  <c r="M21" i="4" l="1"/>
  <c r="N21" i="4" s="1"/>
  <c r="K21" i="4"/>
  <c r="I21" i="5"/>
  <c r="D24" i="4"/>
  <c r="B19" i="6"/>
  <c r="F19" i="6" s="1"/>
  <c r="I20" i="5"/>
  <c r="D23" i="4"/>
  <c r="B18" i="6"/>
  <c r="F18" i="6" s="1"/>
  <c r="C23" i="4"/>
  <c r="C24" i="4" s="1"/>
  <c r="D10" i="6"/>
  <c r="E10" i="6" s="1"/>
  <c r="V15" i="4"/>
  <c r="D12" i="5" s="1"/>
  <c r="E12" i="5" s="1"/>
  <c r="S15" i="4"/>
  <c r="F11" i="5"/>
  <c r="G11" i="5"/>
  <c r="X21" i="12"/>
  <c r="AD21" i="12"/>
  <c r="Z21" i="12"/>
  <c r="C21" i="12"/>
  <c r="AA21" i="12"/>
  <c r="B22" i="12"/>
  <c r="U21" i="12"/>
  <c r="U2" i="12" s="1"/>
  <c r="AB21" i="12"/>
  <c r="W21" i="12"/>
  <c r="AE21" i="12"/>
  <c r="V21" i="12"/>
  <c r="Y21" i="12"/>
  <c r="AC21" i="12"/>
  <c r="AF21" i="12"/>
  <c r="L19" i="4"/>
  <c r="O19" i="4"/>
  <c r="P19" i="4" s="1"/>
  <c r="F22" i="4"/>
  <c r="G22" i="4"/>
  <c r="H22" i="4" s="1"/>
  <c r="A20" i="6"/>
  <c r="A26" i="4"/>
  <c r="J22" i="4"/>
  <c r="K20" i="4"/>
  <c r="M20" i="4"/>
  <c r="N20" i="4" s="1"/>
  <c r="B13" i="7"/>
  <c r="C11" i="6" l="1"/>
  <c r="G11" i="6"/>
  <c r="H11" i="6" s="1"/>
  <c r="I11" i="6" s="1"/>
  <c r="R16" i="4" s="1"/>
  <c r="L20" i="4"/>
  <c r="T20" i="4" s="1"/>
  <c r="B17" i="5" s="1"/>
  <c r="O20" i="4"/>
  <c r="P20" i="4" s="1"/>
  <c r="K22" i="4"/>
  <c r="M22" i="4"/>
  <c r="N22" i="4" s="1"/>
  <c r="V22" i="12"/>
  <c r="V2" i="12" s="1"/>
  <c r="B26" i="4" s="1"/>
  <c r="AB22" i="12"/>
  <c r="Z22" i="12"/>
  <c r="AG22" i="12"/>
  <c r="AA22" i="12"/>
  <c r="B23" i="12"/>
  <c r="C22" i="12"/>
  <c r="AC22" i="12"/>
  <c r="X22" i="12"/>
  <c r="AE22" i="12"/>
  <c r="AD22" i="12"/>
  <c r="AF22" i="12"/>
  <c r="Y22" i="12"/>
  <c r="W22" i="12"/>
  <c r="E23" i="4"/>
  <c r="I23" i="4"/>
  <c r="Q19" i="4"/>
  <c r="E3" i="2"/>
  <c r="L21" i="4"/>
  <c r="T21" i="4" s="1"/>
  <c r="B18" i="5" s="1"/>
  <c r="O21" i="4"/>
  <c r="P21" i="4" s="1"/>
  <c r="B25" i="4"/>
  <c r="G12" i="5"/>
  <c r="F12" i="5"/>
  <c r="C13" i="7"/>
  <c r="D13" i="7" s="1"/>
  <c r="E13" i="7" s="1"/>
  <c r="B12" i="3" s="1"/>
  <c r="A21" i="6"/>
  <c r="A27" i="4"/>
  <c r="C38" i="2"/>
  <c r="T19" i="4"/>
  <c r="B16" i="5" s="1"/>
  <c r="H11" i="5"/>
  <c r="J11" i="5"/>
  <c r="K11" i="5" s="1"/>
  <c r="I24" i="4"/>
  <c r="E24" i="4"/>
  <c r="B46" i="2" l="1"/>
  <c r="Q21" i="4"/>
  <c r="U21" i="4" s="1"/>
  <c r="C18" i="5" s="1"/>
  <c r="V16" i="4"/>
  <c r="D13" i="5" s="1"/>
  <c r="E13" i="5" s="1"/>
  <c r="S16" i="4"/>
  <c r="J24" i="4"/>
  <c r="H12" i="5"/>
  <c r="J12" i="5"/>
  <c r="K12" i="5" s="1"/>
  <c r="G23" i="4"/>
  <c r="H23" i="4" s="1"/>
  <c r="F23" i="4"/>
  <c r="L22" i="4"/>
  <c r="T22" i="4" s="1"/>
  <c r="B19" i="5" s="1"/>
  <c r="O22" i="4"/>
  <c r="P22" i="4" s="1"/>
  <c r="D11" i="6"/>
  <c r="E11" i="6"/>
  <c r="A22" i="6"/>
  <c r="A28" i="4"/>
  <c r="E38" i="2"/>
  <c r="U19" i="4"/>
  <c r="C16" i="5" s="1"/>
  <c r="D12" i="3"/>
  <c r="E12" i="3"/>
  <c r="B10" i="2"/>
  <c r="H3" i="4" s="1"/>
  <c r="F24" i="4"/>
  <c r="G24" i="4"/>
  <c r="H24" i="4" s="1"/>
  <c r="J23" i="4"/>
  <c r="I23" i="5"/>
  <c r="D26" i="4"/>
  <c r="B21" i="6"/>
  <c r="F21" i="6" s="1"/>
  <c r="B14" i="7"/>
  <c r="I22" i="5"/>
  <c r="B20" i="6"/>
  <c r="F20" i="6" s="1"/>
  <c r="C25" i="4"/>
  <c r="C26" i="4" s="1"/>
  <c r="D25" i="4"/>
  <c r="Z23" i="12"/>
  <c r="AF23" i="12"/>
  <c r="AA23" i="12"/>
  <c r="AH23" i="12"/>
  <c r="AB23" i="12"/>
  <c r="C23" i="12"/>
  <c r="AC23" i="12"/>
  <c r="B24" i="12"/>
  <c r="X23" i="12"/>
  <c r="AE23" i="12"/>
  <c r="W23" i="12"/>
  <c r="W2" i="12" s="1"/>
  <c r="Y23" i="12"/>
  <c r="AD23" i="12"/>
  <c r="AG23" i="12"/>
  <c r="Q20" i="4"/>
  <c r="U20" i="4" s="1"/>
  <c r="C17" i="5" s="1"/>
  <c r="I26" i="4" l="1"/>
  <c r="M24" i="4"/>
  <c r="N24" i="4" s="1"/>
  <c r="K24" i="4"/>
  <c r="C46" i="2"/>
  <c r="X24" i="12"/>
  <c r="X2" i="12" s="1"/>
  <c r="B28" i="4" s="1"/>
  <c r="AD24" i="12"/>
  <c r="AA24" i="12"/>
  <c r="AH24" i="12"/>
  <c r="AB24" i="12"/>
  <c r="AI24" i="12"/>
  <c r="AC24" i="12"/>
  <c r="B25" i="12"/>
  <c r="Y24" i="12"/>
  <c r="AF24" i="12"/>
  <c r="C24" i="12"/>
  <c r="Z24" i="12"/>
  <c r="AE24" i="12"/>
  <c r="AG24" i="12"/>
  <c r="Q22" i="4"/>
  <c r="U22" i="4" s="1"/>
  <c r="C19" i="5" s="1"/>
  <c r="C14" i="7"/>
  <c r="D14" i="7" s="1"/>
  <c r="E14" i="7" s="1"/>
  <c r="A23" i="6"/>
  <c r="A29" i="4"/>
  <c r="G12" i="6"/>
  <c r="H12" i="6" s="1"/>
  <c r="I12" i="6" s="1"/>
  <c r="R17" i="4" s="1"/>
  <c r="C12" i="6"/>
  <c r="F13" i="5"/>
  <c r="G13" i="5"/>
  <c r="K23" i="4"/>
  <c r="M23" i="4"/>
  <c r="N23" i="4" s="1"/>
  <c r="B27" i="4"/>
  <c r="I25" i="4"/>
  <c r="E25" i="4"/>
  <c r="D12" i="6" l="1"/>
  <c r="E12" i="6"/>
  <c r="J26" i="4"/>
  <c r="G25" i="4"/>
  <c r="H25" i="4" s="1"/>
  <c r="F25" i="4"/>
  <c r="J25" i="4"/>
  <c r="B15" i="7"/>
  <c r="L24" i="4"/>
  <c r="T24" i="4" s="1"/>
  <c r="B21" i="5" s="1"/>
  <c r="O24" i="4"/>
  <c r="P24" i="4" s="1"/>
  <c r="E26" i="4"/>
  <c r="I25" i="5"/>
  <c r="B23" i="6"/>
  <c r="F23" i="6" s="1"/>
  <c r="D28" i="4"/>
  <c r="L23" i="4"/>
  <c r="T23" i="4" s="1"/>
  <c r="B20" i="5" s="1"/>
  <c r="O23" i="4"/>
  <c r="P23" i="4" s="1"/>
  <c r="I24" i="5"/>
  <c r="C27" i="4"/>
  <c r="C28" i="4" s="1"/>
  <c r="D27" i="4"/>
  <c r="B22" i="6"/>
  <c r="F22" i="6" s="1"/>
  <c r="A24" i="6"/>
  <c r="A30" i="4"/>
  <c r="V17" i="4"/>
  <c r="D14" i="5" s="1"/>
  <c r="E14" i="5" s="1"/>
  <c r="S17" i="4"/>
  <c r="H13" i="5"/>
  <c r="J13" i="5"/>
  <c r="K13" i="5" s="1"/>
  <c r="AB25" i="12"/>
  <c r="AH25" i="12"/>
  <c r="AA25" i="12"/>
  <c r="AI25" i="12"/>
  <c r="AC25" i="12"/>
  <c r="AJ25" i="12"/>
  <c r="AD25" i="12"/>
  <c r="Y25" i="12"/>
  <c r="Y2" i="12" s="1"/>
  <c r="B29" i="4" s="1"/>
  <c r="AF25" i="12"/>
  <c r="AE25" i="12"/>
  <c r="AG25" i="12"/>
  <c r="B26" i="12"/>
  <c r="C25" i="12"/>
  <c r="Z25" i="12"/>
  <c r="I27" i="4" l="1"/>
  <c r="E27" i="4"/>
  <c r="E28" i="4" s="1"/>
  <c r="I28" i="4"/>
  <c r="C13" i="6"/>
  <c r="G13" i="6"/>
  <c r="H13" i="6" s="1"/>
  <c r="I13" i="6" s="1"/>
  <c r="R18" i="4" s="1"/>
  <c r="I26" i="5"/>
  <c r="D29" i="4"/>
  <c r="B24" i="6"/>
  <c r="F24" i="6" s="1"/>
  <c r="C29" i="4"/>
  <c r="C15" i="7"/>
  <c r="D15" i="7" s="1"/>
  <c r="E15" i="7" s="1"/>
  <c r="F14" i="5"/>
  <c r="G14" i="5"/>
  <c r="A25" i="6"/>
  <c r="A31" i="4"/>
  <c r="Q23" i="4"/>
  <c r="U23" i="4" s="1"/>
  <c r="C20" i="5" s="1"/>
  <c r="G26" i="4"/>
  <c r="H26" i="4" s="1"/>
  <c r="F26" i="4"/>
  <c r="K25" i="4"/>
  <c r="M25" i="4"/>
  <c r="N25" i="4" s="1"/>
  <c r="Z26" i="12"/>
  <c r="Z2" i="12" s="1"/>
  <c r="B30" i="4" s="1"/>
  <c r="AF26" i="12"/>
  <c r="AB26" i="12"/>
  <c r="AI26" i="12"/>
  <c r="AC26" i="12"/>
  <c r="AJ26" i="12"/>
  <c r="AD26" i="12"/>
  <c r="AK26" i="12"/>
  <c r="C26" i="12"/>
  <c r="AG26" i="12"/>
  <c r="B27" i="12"/>
  <c r="AA26" i="12"/>
  <c r="AH26" i="12"/>
  <c r="AE26" i="12"/>
  <c r="Q24" i="4"/>
  <c r="U24" i="4" s="1"/>
  <c r="C21" i="5" s="1"/>
  <c r="L25" i="4" l="1"/>
  <c r="T25" i="4" s="1"/>
  <c r="B22" i="5" s="1"/>
  <c r="O25" i="4"/>
  <c r="P25" i="4" s="1"/>
  <c r="AD27" i="12"/>
  <c r="AJ27" i="12"/>
  <c r="AB27" i="12"/>
  <c r="AI27" i="12"/>
  <c r="AC27" i="12"/>
  <c r="AK27" i="12"/>
  <c r="AE27" i="12"/>
  <c r="AL27" i="12"/>
  <c r="C27" i="12"/>
  <c r="AG27" i="12"/>
  <c r="B28" i="12"/>
  <c r="AA27" i="12"/>
  <c r="AA2" i="12" s="1"/>
  <c r="AF27" i="12"/>
  <c r="AH27" i="12"/>
  <c r="A26" i="6"/>
  <c r="A32" i="4"/>
  <c r="B16" i="7"/>
  <c r="F27" i="4"/>
  <c r="G27" i="4"/>
  <c r="H27" i="4" s="1"/>
  <c r="F28" i="4" s="1"/>
  <c r="H14" i="5"/>
  <c r="J14" i="5"/>
  <c r="K14" i="5" s="1"/>
  <c r="J27" i="4"/>
  <c r="J28" i="4"/>
  <c r="K26" i="4"/>
  <c r="M26" i="4"/>
  <c r="N26" i="4" s="1"/>
  <c r="D13" i="6"/>
  <c r="E13" i="6" s="1"/>
  <c r="I27" i="5"/>
  <c r="C30" i="4"/>
  <c r="B25" i="6"/>
  <c r="F25" i="6" s="1"/>
  <c r="D30" i="4"/>
  <c r="E29" i="4"/>
  <c r="I29" i="4"/>
  <c r="V18" i="4"/>
  <c r="D15" i="5" s="1"/>
  <c r="E15" i="5" s="1"/>
  <c r="S18" i="4"/>
  <c r="G14" i="6" l="1"/>
  <c r="H14" i="6" s="1"/>
  <c r="I14" i="6" s="1"/>
  <c r="R19" i="4" s="1"/>
  <c r="C14" i="6"/>
  <c r="K28" i="4"/>
  <c r="M28" i="4"/>
  <c r="N28" i="4" s="1"/>
  <c r="L26" i="4"/>
  <c r="T26" i="4" s="1"/>
  <c r="B23" i="5" s="1"/>
  <c r="O26" i="4"/>
  <c r="P26" i="4" s="1"/>
  <c r="I30" i="4"/>
  <c r="E30" i="4"/>
  <c r="A27" i="6"/>
  <c r="A33" i="4"/>
  <c r="Q25" i="4"/>
  <c r="U25" i="4" s="1"/>
  <c r="C22" i="5" s="1"/>
  <c r="G28" i="4"/>
  <c r="H28" i="4" s="1"/>
  <c r="G29" i="4" s="1"/>
  <c r="H29" i="4" s="1"/>
  <c r="F15" i="5"/>
  <c r="G15" i="5"/>
  <c r="J29" i="4"/>
  <c r="M27" i="4"/>
  <c r="N27" i="4" s="1"/>
  <c r="K27" i="4"/>
  <c r="B31" i="4"/>
  <c r="AA1" i="12"/>
  <c r="C16" i="7"/>
  <c r="D16" i="7" s="1"/>
  <c r="E16" i="7" s="1"/>
  <c r="AB28" i="12"/>
  <c r="AB2" i="12" s="1"/>
  <c r="AH28" i="12"/>
  <c r="AC28" i="12"/>
  <c r="AJ28" i="12"/>
  <c r="AD28" i="12"/>
  <c r="AK28" i="12"/>
  <c r="AE28" i="12"/>
  <c r="AL28" i="12"/>
  <c r="AG28" i="12"/>
  <c r="B29" i="12"/>
  <c r="AF28" i="12"/>
  <c r="AI28" i="12"/>
  <c r="AM28" i="12"/>
  <c r="C28" i="12"/>
  <c r="B32" i="4" l="1"/>
  <c r="L27" i="4"/>
  <c r="T27" i="4" s="1"/>
  <c r="B24" i="5" s="1"/>
  <c r="O27" i="4"/>
  <c r="P27" i="4" s="1"/>
  <c r="Q26" i="4"/>
  <c r="U26" i="4" s="1"/>
  <c r="C23" i="5" s="1"/>
  <c r="B17" i="7"/>
  <c r="L28" i="4"/>
  <c r="T28" i="4" s="1"/>
  <c r="B25" i="5" s="1"/>
  <c r="O28" i="4"/>
  <c r="P28" i="4" s="1"/>
  <c r="F29" i="4"/>
  <c r="AF29" i="12"/>
  <c r="AL29" i="12"/>
  <c r="AC29" i="12"/>
  <c r="AC2" i="12" s="1"/>
  <c r="B33" i="4" s="1"/>
  <c r="AJ29" i="12"/>
  <c r="AD29" i="12"/>
  <c r="AK29" i="12"/>
  <c r="AE29" i="12"/>
  <c r="AM29" i="12"/>
  <c r="AH29" i="12"/>
  <c r="AN29" i="12"/>
  <c r="B30" i="12"/>
  <c r="C29" i="12"/>
  <c r="AG29" i="12"/>
  <c r="AI29" i="12"/>
  <c r="H15" i="5"/>
  <c r="J15" i="5"/>
  <c r="K15" i="5" s="1"/>
  <c r="F30" i="4"/>
  <c r="G30" i="4"/>
  <c r="H30" i="4" s="1"/>
  <c r="D14" i="6"/>
  <c r="E14" i="6" s="1"/>
  <c r="A28" i="6"/>
  <c r="A34" i="4"/>
  <c r="I28" i="5"/>
  <c r="B26" i="6"/>
  <c r="F26" i="6" s="1"/>
  <c r="C31" i="4"/>
  <c r="B30" i="2" s="1"/>
  <c r="D31" i="4"/>
  <c r="J30" i="4"/>
  <c r="V19" i="4"/>
  <c r="D16" i="5" s="1"/>
  <c r="F38" i="2"/>
  <c r="G38" i="2" s="1"/>
  <c r="S19" i="4"/>
  <c r="C15" i="6" l="1"/>
  <c r="G15" i="6"/>
  <c r="H15" i="6" s="1"/>
  <c r="I15" i="6" s="1"/>
  <c r="R20" i="4" s="1"/>
  <c r="F3" i="2"/>
  <c r="D46" i="2"/>
  <c r="E16" i="5"/>
  <c r="J47" i="2"/>
  <c r="B18" i="7"/>
  <c r="C17" i="7"/>
  <c r="D17" i="7" s="1"/>
  <c r="E17" i="7" s="1"/>
  <c r="I29" i="5"/>
  <c r="D32" i="4"/>
  <c r="B27" i="6"/>
  <c r="F27" i="6" s="1"/>
  <c r="C32" i="4"/>
  <c r="C33" i="4" s="1"/>
  <c r="A29" i="6"/>
  <c r="A35" i="4"/>
  <c r="K29" i="4"/>
  <c r="M29" i="4"/>
  <c r="N29" i="4" s="1"/>
  <c r="I31" i="4"/>
  <c r="E31" i="4"/>
  <c r="M30" i="4"/>
  <c r="N30" i="4" s="1"/>
  <c r="K30" i="4"/>
  <c r="AD30" i="12"/>
  <c r="AD2" i="12" s="1"/>
  <c r="B34" i="4" s="1"/>
  <c r="AJ30" i="12"/>
  <c r="C30" i="12"/>
  <c r="AK30" i="12"/>
  <c r="AE30" i="12"/>
  <c r="AL30" i="12"/>
  <c r="AF30" i="12"/>
  <c r="AM30" i="12"/>
  <c r="AH30" i="12"/>
  <c r="AO30" i="12"/>
  <c r="AG30" i="12"/>
  <c r="AI30" i="12"/>
  <c r="B31" i="12"/>
  <c r="AN30" i="12"/>
  <c r="Q28" i="4"/>
  <c r="U28" i="4" s="1"/>
  <c r="C25" i="5" s="1"/>
  <c r="I30" i="5"/>
  <c r="B28" i="6"/>
  <c r="F28" i="6" s="1"/>
  <c r="D33" i="4"/>
  <c r="Q27" i="4"/>
  <c r="U27" i="4" s="1"/>
  <c r="C24" i="5" s="1"/>
  <c r="A30" i="6" l="1"/>
  <c r="A36" i="4"/>
  <c r="J31" i="4"/>
  <c r="C18" i="7"/>
  <c r="D18" i="7" s="1"/>
  <c r="E18" i="7" s="1"/>
  <c r="I31" i="5"/>
  <c r="B29" i="6"/>
  <c r="F29" i="6" s="1"/>
  <c r="C34" i="4"/>
  <c r="D34" i="4"/>
  <c r="L30" i="4"/>
  <c r="T30" i="4" s="1"/>
  <c r="B27" i="5" s="1"/>
  <c r="O30" i="4"/>
  <c r="P30" i="4" s="1"/>
  <c r="V20" i="4"/>
  <c r="D17" i="5" s="1"/>
  <c r="S20" i="4"/>
  <c r="AH31" i="12"/>
  <c r="AN31" i="12"/>
  <c r="C31" i="12"/>
  <c r="AK31" i="12"/>
  <c r="B32" i="12"/>
  <c r="AE31" i="12"/>
  <c r="AE2" i="12" s="1"/>
  <c r="AL31" i="12"/>
  <c r="AF31" i="12"/>
  <c r="AM31" i="12"/>
  <c r="AI31" i="12"/>
  <c r="AP31" i="12"/>
  <c r="AG31" i="12"/>
  <c r="AJ31" i="12"/>
  <c r="AO31" i="12"/>
  <c r="E32" i="4"/>
  <c r="I32" i="4"/>
  <c r="I33" i="4"/>
  <c r="L29" i="4"/>
  <c r="T29" i="4" s="1"/>
  <c r="B26" i="5" s="1"/>
  <c r="O29" i="4"/>
  <c r="P29" i="4" s="1"/>
  <c r="F16" i="5"/>
  <c r="F46" i="2" s="1"/>
  <c r="G16" i="5"/>
  <c r="E46" i="2"/>
  <c r="D15" i="6"/>
  <c r="E15" i="6"/>
  <c r="G31" i="4"/>
  <c r="H31" i="4" s="1"/>
  <c r="F31" i="4"/>
  <c r="K31" i="4" l="1"/>
  <c r="M31" i="4"/>
  <c r="N31" i="4" s="1"/>
  <c r="D39" i="2" s="1"/>
  <c r="H16" i="5"/>
  <c r="J16" i="5"/>
  <c r="K16" i="5" s="1"/>
  <c r="G46" i="2"/>
  <c r="J33" i="4"/>
  <c r="B35" i="4"/>
  <c r="Q30" i="4"/>
  <c r="U30" i="4" s="1"/>
  <c r="C27" i="5" s="1"/>
  <c r="J32" i="4"/>
  <c r="AF32" i="12"/>
  <c r="AF2" i="12" s="1"/>
  <c r="B36" i="4" s="1"/>
  <c r="AL32" i="12"/>
  <c r="AK32" i="12"/>
  <c r="B33" i="12"/>
  <c r="C32" i="12"/>
  <c r="AM32" i="12"/>
  <c r="AG32" i="12"/>
  <c r="AN32" i="12"/>
  <c r="AI32" i="12"/>
  <c r="AP32" i="12"/>
  <c r="AO32" i="12"/>
  <c r="AQ32" i="12"/>
  <c r="AH32" i="12"/>
  <c r="AJ32" i="12"/>
  <c r="A31" i="6"/>
  <c r="A37" i="4"/>
  <c r="G32" i="4"/>
  <c r="H32" i="4" s="1"/>
  <c r="F32" i="4"/>
  <c r="G16" i="6"/>
  <c r="H16" i="6" s="1"/>
  <c r="I16" i="6" s="1"/>
  <c r="R21" i="4" s="1"/>
  <c r="C16" i="6"/>
  <c r="B19" i="7"/>
  <c r="Q29" i="4"/>
  <c r="U29" i="4" s="1"/>
  <c r="C26" i="5" s="1"/>
  <c r="I34" i="4"/>
  <c r="E34" i="4"/>
  <c r="B39" i="2"/>
  <c r="I46" i="2"/>
  <c r="K46" i="2" s="1"/>
  <c r="E33" i="4"/>
  <c r="E17" i="5"/>
  <c r="D16" i="6" l="1"/>
  <c r="E16" i="6"/>
  <c r="L46" i="2"/>
  <c r="J34" i="4"/>
  <c r="C19" i="7"/>
  <c r="D19" i="7" s="1"/>
  <c r="E19" i="7" s="1"/>
  <c r="B20" i="7"/>
  <c r="H47" i="2"/>
  <c r="F17" i="5"/>
  <c r="G17" i="5"/>
  <c r="V21" i="4"/>
  <c r="D18" i="5" s="1"/>
  <c r="S21" i="4"/>
  <c r="I33" i="5"/>
  <c r="D36" i="4"/>
  <c r="B31" i="6"/>
  <c r="F31" i="6" s="1"/>
  <c r="K32" i="4"/>
  <c r="M32" i="4"/>
  <c r="N32" i="4" s="1"/>
  <c r="I32" i="5"/>
  <c r="D35" i="4"/>
  <c r="B30" i="6"/>
  <c r="F30" i="6" s="1"/>
  <c r="C35" i="4"/>
  <c r="C36" i="4" s="1"/>
  <c r="F33" i="4"/>
  <c r="G33" i="4"/>
  <c r="H33" i="4" s="1"/>
  <c r="F34" i="4" s="1"/>
  <c r="L31" i="4"/>
  <c r="O31" i="4"/>
  <c r="P31" i="4" s="1"/>
  <c r="A32" i="6"/>
  <c r="A38" i="4"/>
  <c r="AJ33" i="12"/>
  <c r="AP33" i="12"/>
  <c r="AL33" i="12"/>
  <c r="C33" i="12"/>
  <c r="AM33" i="12"/>
  <c r="B34" i="12"/>
  <c r="AG33" i="12"/>
  <c r="AG2" i="12" s="1"/>
  <c r="B37" i="4" s="1"/>
  <c r="AN33" i="12"/>
  <c r="AI33" i="12"/>
  <c r="AQ33" i="12"/>
  <c r="AH33" i="12"/>
  <c r="AK33" i="12"/>
  <c r="AO33" i="12"/>
  <c r="AR33" i="12"/>
  <c r="K34" i="4" l="1"/>
  <c r="M34" i="4"/>
  <c r="N34" i="4" s="1"/>
  <c r="I34" i="5"/>
  <c r="B32" i="6"/>
  <c r="F32" i="6" s="1"/>
  <c r="C37" i="4"/>
  <c r="D37" i="4"/>
  <c r="AH34" i="12"/>
  <c r="AH2" i="12" s="1"/>
  <c r="B38" i="4" s="1"/>
  <c r="AN34" i="12"/>
  <c r="AL34" i="12"/>
  <c r="AS34" i="12"/>
  <c r="AM34" i="12"/>
  <c r="B35" i="12"/>
  <c r="C34" i="12"/>
  <c r="AO34" i="12"/>
  <c r="AJ34" i="12"/>
  <c r="AQ34" i="12"/>
  <c r="AI34" i="12"/>
  <c r="AK34" i="12"/>
  <c r="AP34" i="12"/>
  <c r="AR34" i="12"/>
  <c r="A33" i="6"/>
  <c r="A39" i="4"/>
  <c r="C39" i="2"/>
  <c r="T31" i="4"/>
  <c r="B28" i="5" s="1"/>
  <c r="M33" i="4"/>
  <c r="N33" i="4" s="1"/>
  <c r="K33" i="4"/>
  <c r="G34" i="4"/>
  <c r="H34" i="4" s="1"/>
  <c r="L32" i="4"/>
  <c r="T32" i="4" s="1"/>
  <c r="B29" i="5" s="1"/>
  <c r="O32" i="4"/>
  <c r="P32" i="4" s="1"/>
  <c r="E18" i="5"/>
  <c r="C20" i="7"/>
  <c r="D20" i="7" s="1"/>
  <c r="E20" i="7" s="1"/>
  <c r="B21" i="7"/>
  <c r="C17" i="6"/>
  <c r="G17" i="6"/>
  <c r="H17" i="6" s="1"/>
  <c r="I17" i="6" s="1"/>
  <c r="R22" i="4" s="1"/>
  <c r="E35" i="4"/>
  <c r="I35" i="4"/>
  <c r="Q31" i="4"/>
  <c r="E4" i="2"/>
  <c r="I36" i="4"/>
  <c r="E36" i="4"/>
  <c r="H17" i="5"/>
  <c r="J17" i="5"/>
  <c r="K17" i="5" s="1"/>
  <c r="G18" i="5" l="1"/>
  <c r="F18" i="5"/>
  <c r="L33" i="4"/>
  <c r="T33" i="4" s="1"/>
  <c r="B30" i="5" s="1"/>
  <c r="O33" i="4"/>
  <c r="P33" i="4" s="1"/>
  <c r="E39" i="2"/>
  <c r="U31" i="4"/>
  <c r="C28" i="5" s="1"/>
  <c r="C47" i="2" s="1"/>
  <c r="D17" i="6"/>
  <c r="E17" i="6"/>
  <c r="J36" i="4"/>
  <c r="J35" i="4"/>
  <c r="C21" i="7"/>
  <c r="D21" i="7" s="1"/>
  <c r="E21" i="7" s="1"/>
  <c r="Q32" i="4"/>
  <c r="U32" i="4" s="1"/>
  <c r="C29" i="5" s="1"/>
  <c r="I35" i="5"/>
  <c r="D38" i="4"/>
  <c r="B33" i="6"/>
  <c r="F33" i="6" s="1"/>
  <c r="C38" i="4"/>
  <c r="A34" i="6"/>
  <c r="A40" i="4"/>
  <c r="V22" i="4"/>
  <c r="D19" i="5" s="1"/>
  <c r="S22" i="4"/>
  <c r="G35" i="4"/>
  <c r="H35" i="4" s="1"/>
  <c r="F36" i="4" s="1"/>
  <c r="F35" i="4"/>
  <c r="B47" i="2"/>
  <c r="AL35" i="12"/>
  <c r="AR35" i="12"/>
  <c r="AM35" i="12"/>
  <c r="AN35" i="12"/>
  <c r="C35" i="12"/>
  <c r="AO35" i="12"/>
  <c r="B36" i="12"/>
  <c r="AJ35" i="12"/>
  <c r="AQ35" i="12"/>
  <c r="AP35" i="12"/>
  <c r="AS35" i="12"/>
  <c r="AT35" i="12"/>
  <c r="AK35" i="12"/>
  <c r="AI35" i="12"/>
  <c r="AI2" i="12" s="1"/>
  <c r="B39" i="4" s="1"/>
  <c r="I37" i="4"/>
  <c r="E37" i="4"/>
  <c r="L34" i="4"/>
  <c r="T34" i="4" s="1"/>
  <c r="B31" i="5" s="1"/>
  <c r="O34" i="4"/>
  <c r="P34" i="4" s="1"/>
  <c r="M36" i="4" l="1"/>
  <c r="N36" i="4" s="1"/>
  <c r="K36" i="4"/>
  <c r="A35" i="6"/>
  <c r="A41" i="4"/>
  <c r="J37" i="4"/>
  <c r="G18" i="6"/>
  <c r="H18" i="6" s="1"/>
  <c r="I18" i="6" s="1"/>
  <c r="R23" i="4" s="1"/>
  <c r="C18" i="6"/>
  <c r="H18" i="5"/>
  <c r="J18" i="5"/>
  <c r="K18" i="5" s="1"/>
  <c r="AJ36" i="12"/>
  <c r="AJ2" i="12" s="1"/>
  <c r="B40" i="4" s="1"/>
  <c r="AP36" i="12"/>
  <c r="AN36" i="12"/>
  <c r="AO36" i="12"/>
  <c r="B37" i="12"/>
  <c r="AK36" i="12"/>
  <c r="AR36" i="12"/>
  <c r="AQ36" i="12"/>
  <c r="AS36" i="12"/>
  <c r="AT36" i="12"/>
  <c r="C36" i="12"/>
  <c r="AU36" i="12"/>
  <c r="AL36" i="12"/>
  <c r="AM36" i="12"/>
  <c r="B22" i="7"/>
  <c r="Q33" i="4"/>
  <c r="U33" i="4" s="1"/>
  <c r="C30" i="5" s="1"/>
  <c r="I36" i="5"/>
  <c r="C39" i="4"/>
  <c r="B34" i="6"/>
  <c r="F34" i="6" s="1"/>
  <c r="D39" i="4"/>
  <c r="K35" i="4"/>
  <c r="M35" i="4"/>
  <c r="N35" i="4" s="1"/>
  <c r="Q34" i="4"/>
  <c r="U34" i="4" s="1"/>
  <c r="C31" i="5" s="1"/>
  <c r="E38" i="4"/>
  <c r="I38" i="4"/>
  <c r="G36" i="4"/>
  <c r="H36" i="4" s="1"/>
  <c r="F37" i="4" s="1"/>
  <c r="E19" i="5"/>
  <c r="K37" i="4" l="1"/>
  <c r="M37" i="4"/>
  <c r="N37" i="4" s="1"/>
  <c r="G38" i="4"/>
  <c r="H38" i="4" s="1"/>
  <c r="AN37" i="12"/>
  <c r="AT37" i="12"/>
  <c r="AP37" i="12"/>
  <c r="AK37" i="12"/>
  <c r="AK2" i="12" s="1"/>
  <c r="B41" i="4" s="1"/>
  <c r="AM37" i="12"/>
  <c r="AV37" i="12"/>
  <c r="AO37" i="12"/>
  <c r="B38" i="12"/>
  <c r="AQ37" i="12"/>
  <c r="AR37" i="12"/>
  <c r="AU37" i="12"/>
  <c r="C37" i="12"/>
  <c r="AL37" i="12"/>
  <c r="AS37" i="12"/>
  <c r="G37" i="4"/>
  <c r="H37" i="4" s="1"/>
  <c r="F38" i="4" s="1"/>
  <c r="B23" i="7"/>
  <c r="C22" i="7"/>
  <c r="D22" i="7" s="1"/>
  <c r="E22" i="7" s="1"/>
  <c r="L36" i="4"/>
  <c r="T36" i="4" s="1"/>
  <c r="B33" i="5" s="1"/>
  <c r="O36" i="4"/>
  <c r="P36" i="4" s="1"/>
  <c r="G19" i="5"/>
  <c r="F19" i="5"/>
  <c r="J38" i="4"/>
  <c r="A36" i="6"/>
  <c r="A42" i="4"/>
  <c r="L35" i="4"/>
  <c r="T35" i="4" s="1"/>
  <c r="B32" i="5" s="1"/>
  <c r="O35" i="4"/>
  <c r="P35" i="4" s="1"/>
  <c r="I37" i="5"/>
  <c r="B35" i="6"/>
  <c r="F35" i="6" s="1"/>
  <c r="C40" i="4"/>
  <c r="D40" i="4"/>
  <c r="D18" i="6"/>
  <c r="E18" i="6"/>
  <c r="I39" i="4"/>
  <c r="E39" i="4"/>
  <c r="V23" i="4"/>
  <c r="D20" i="5" s="1"/>
  <c r="S23" i="4"/>
  <c r="K38" i="4" l="1"/>
  <c r="M38" i="4"/>
  <c r="N38" i="4" s="1"/>
  <c r="A37" i="6"/>
  <c r="A43" i="4"/>
  <c r="B24" i="7"/>
  <c r="C23" i="7"/>
  <c r="D23" i="7" s="1"/>
  <c r="E23" i="7" s="1"/>
  <c r="F39" i="4"/>
  <c r="G39" i="4"/>
  <c r="H39" i="4" s="1"/>
  <c r="AL38" i="12"/>
  <c r="AL2" i="12" s="1"/>
  <c r="B42" i="4" s="1"/>
  <c r="AR38" i="12"/>
  <c r="AP38" i="12"/>
  <c r="AW38" i="12"/>
  <c r="AQ38" i="12"/>
  <c r="AS38" i="12"/>
  <c r="C38" i="12"/>
  <c r="AT38" i="12"/>
  <c r="AM38" i="12"/>
  <c r="AU38" i="12"/>
  <c r="AN38" i="12"/>
  <c r="AO38" i="12"/>
  <c r="AV38" i="12"/>
  <c r="B39" i="12"/>
  <c r="L37" i="4"/>
  <c r="T37" i="4" s="1"/>
  <c r="B34" i="5" s="1"/>
  <c r="O37" i="4"/>
  <c r="P37" i="4" s="1"/>
  <c r="I40" i="4"/>
  <c r="E40" i="4"/>
  <c r="Q36" i="4"/>
  <c r="U36" i="4" s="1"/>
  <c r="C33" i="5" s="1"/>
  <c r="I38" i="5"/>
  <c r="D41" i="4"/>
  <c r="B36" i="6"/>
  <c r="F36" i="6" s="1"/>
  <c r="C41" i="4"/>
  <c r="Q35" i="4"/>
  <c r="U35" i="4" s="1"/>
  <c r="C32" i="5" s="1"/>
  <c r="E20" i="5"/>
  <c r="H19" i="5"/>
  <c r="J19" i="5"/>
  <c r="K19" i="5" s="1"/>
  <c r="J39" i="4"/>
  <c r="C19" i="6"/>
  <c r="G19" i="6"/>
  <c r="H19" i="6" s="1"/>
  <c r="I19" i="6" s="1"/>
  <c r="R24" i="4" s="1"/>
  <c r="F20" i="5" l="1"/>
  <c r="G20" i="5"/>
  <c r="C24" i="7"/>
  <c r="D24" i="7" s="1"/>
  <c r="E24" i="7" s="1"/>
  <c r="F40" i="4"/>
  <c r="G40" i="4"/>
  <c r="H40" i="4" s="1"/>
  <c r="A38" i="6"/>
  <c r="A44" i="4"/>
  <c r="V24" i="4"/>
  <c r="D21" i="5" s="1"/>
  <c r="S24" i="4"/>
  <c r="M39" i="4"/>
  <c r="N39" i="4" s="1"/>
  <c r="K39" i="4"/>
  <c r="I39" i="5"/>
  <c r="C42" i="4"/>
  <c r="B37" i="6"/>
  <c r="F37" i="6" s="1"/>
  <c r="D42" i="4"/>
  <c r="E41" i="4"/>
  <c r="I41" i="4"/>
  <c r="J40" i="4"/>
  <c r="Q37" i="4"/>
  <c r="U37" i="4" s="1"/>
  <c r="C34" i="5" s="1"/>
  <c r="D19" i="6"/>
  <c r="E19" i="6" s="1"/>
  <c r="AP39" i="12"/>
  <c r="AV39" i="12"/>
  <c r="AQ39" i="12"/>
  <c r="AX39" i="12"/>
  <c r="C39" i="12"/>
  <c r="AT39" i="12"/>
  <c r="AM39" i="12"/>
  <c r="AM2" i="12" s="1"/>
  <c r="AU39" i="12"/>
  <c r="AN39" i="12"/>
  <c r="AW39" i="12"/>
  <c r="AO39" i="12"/>
  <c r="AS39" i="12"/>
  <c r="B40" i="12"/>
  <c r="AR39" i="12"/>
  <c r="L38" i="4"/>
  <c r="T38" i="4" s="1"/>
  <c r="B35" i="5" s="1"/>
  <c r="O38" i="4"/>
  <c r="P38" i="4" s="1"/>
  <c r="G20" i="6" l="1"/>
  <c r="H20" i="6" s="1"/>
  <c r="I20" i="6" s="1"/>
  <c r="R25" i="4" s="1"/>
  <c r="C20" i="6"/>
  <c r="Q38" i="4"/>
  <c r="U38" i="4" s="1"/>
  <c r="C35" i="5" s="1"/>
  <c r="G41" i="4"/>
  <c r="H41" i="4" s="1"/>
  <c r="F41" i="4"/>
  <c r="K40" i="4"/>
  <c r="M40" i="4"/>
  <c r="N40" i="4" s="1"/>
  <c r="L39" i="4"/>
  <c r="T39" i="4" s="1"/>
  <c r="B36" i="5" s="1"/>
  <c r="O39" i="4"/>
  <c r="P39" i="4" s="1"/>
  <c r="I42" i="4"/>
  <c r="E42" i="4"/>
  <c r="E21" i="5"/>
  <c r="B25" i="7"/>
  <c r="B43" i="4"/>
  <c r="AM1" i="12"/>
  <c r="A39" i="6"/>
  <c r="A45" i="4"/>
  <c r="J41" i="4"/>
  <c r="AN40" i="12"/>
  <c r="AN2" i="12" s="1"/>
  <c r="AT40" i="12"/>
  <c r="AQ40" i="12"/>
  <c r="AX40" i="12"/>
  <c r="AO40" i="12"/>
  <c r="AW40" i="12"/>
  <c r="AP40" i="12"/>
  <c r="AY40" i="12"/>
  <c r="AR40" i="12"/>
  <c r="B41" i="12"/>
  <c r="AS40" i="12"/>
  <c r="C40" i="12"/>
  <c r="AU40" i="12"/>
  <c r="AV40" i="12"/>
  <c r="H20" i="5"/>
  <c r="J20" i="5"/>
  <c r="K20" i="5" s="1"/>
  <c r="Q39" i="4" l="1"/>
  <c r="U39" i="4" s="1"/>
  <c r="C36" i="5" s="1"/>
  <c r="AR41" i="12"/>
  <c r="AX41" i="12"/>
  <c r="AQ41" i="12"/>
  <c r="AY41" i="12"/>
  <c r="AS41" i="12"/>
  <c r="AT41" i="12"/>
  <c r="B42" i="12"/>
  <c r="AU41" i="12"/>
  <c r="C41" i="12"/>
  <c r="AV41" i="12"/>
  <c r="AP41" i="12"/>
  <c r="AW41" i="12"/>
  <c r="AZ41" i="12"/>
  <c r="AO41" i="12"/>
  <c r="AO2" i="12" s="1"/>
  <c r="B45" i="4" s="1"/>
  <c r="A40" i="6"/>
  <c r="A46" i="4"/>
  <c r="B44" i="4"/>
  <c r="I40" i="5"/>
  <c r="B38" i="6"/>
  <c r="F38" i="6" s="1"/>
  <c r="C43" i="4"/>
  <c r="B31" i="2" s="1"/>
  <c r="D43" i="4"/>
  <c r="F42" i="4"/>
  <c r="G42" i="4"/>
  <c r="H42" i="4" s="1"/>
  <c r="L40" i="4"/>
  <c r="T40" i="4" s="1"/>
  <c r="B37" i="5" s="1"/>
  <c r="O40" i="4"/>
  <c r="P40" i="4" s="1"/>
  <c r="D20" i="6"/>
  <c r="E20" i="6" s="1"/>
  <c r="F21" i="5"/>
  <c r="G21" i="5"/>
  <c r="C25" i="7"/>
  <c r="D25" i="7" s="1"/>
  <c r="E25" i="7" s="1"/>
  <c r="B13" i="3" s="1"/>
  <c r="J42" i="4"/>
  <c r="K41" i="4"/>
  <c r="M41" i="4"/>
  <c r="N41" i="4" s="1"/>
  <c r="V25" i="4"/>
  <c r="D22" i="5" s="1"/>
  <c r="E22" i="5" s="1"/>
  <c r="S25" i="4"/>
  <c r="C21" i="6" l="1"/>
  <c r="G21" i="6"/>
  <c r="H21" i="6" s="1"/>
  <c r="I21" i="6" s="1"/>
  <c r="R26" i="4" s="1"/>
  <c r="H21" i="5"/>
  <c r="J21" i="5"/>
  <c r="K21" i="5" s="1"/>
  <c r="I41" i="5"/>
  <c r="D44" i="4"/>
  <c r="B39" i="6"/>
  <c r="F39" i="6" s="1"/>
  <c r="C44" i="4"/>
  <c r="C45" i="4" s="1"/>
  <c r="AP42" i="12"/>
  <c r="AP2" i="12" s="1"/>
  <c r="B46" i="4" s="1"/>
  <c r="AR42" i="12"/>
  <c r="AX42" i="12"/>
  <c r="AU42" i="12"/>
  <c r="AV42" i="12"/>
  <c r="B43" i="12"/>
  <c r="C42" i="12"/>
  <c r="AW42" i="12"/>
  <c r="AQ42" i="12"/>
  <c r="AY42" i="12"/>
  <c r="BA42" i="12"/>
  <c r="AS42" i="12"/>
  <c r="AT42" i="12"/>
  <c r="AZ42" i="12"/>
  <c r="M42" i="4"/>
  <c r="N42" i="4" s="1"/>
  <c r="K42" i="4"/>
  <c r="I42" i="5"/>
  <c r="D45" i="4"/>
  <c r="B40" i="6"/>
  <c r="F40" i="6" s="1"/>
  <c r="B26" i="7"/>
  <c r="I43" i="4"/>
  <c r="E43" i="4"/>
  <c r="L41" i="4"/>
  <c r="T41" i="4" s="1"/>
  <c r="B38" i="5" s="1"/>
  <c r="O41" i="4"/>
  <c r="P41" i="4" s="1"/>
  <c r="F22" i="5"/>
  <c r="G22" i="5"/>
  <c r="D13" i="3"/>
  <c r="E13" i="3"/>
  <c r="A41" i="6"/>
  <c r="A47" i="4"/>
  <c r="Q40" i="4"/>
  <c r="U40" i="4" s="1"/>
  <c r="C37" i="5" s="1"/>
  <c r="J43" i="4" l="1"/>
  <c r="AT43" i="12"/>
  <c r="AZ43" i="12"/>
  <c r="AU43" i="12"/>
  <c r="BA43" i="12"/>
  <c r="C43" i="12"/>
  <c r="AV43" i="12"/>
  <c r="BB43" i="12"/>
  <c r="AQ43" i="12"/>
  <c r="AQ2" i="12" s="1"/>
  <c r="AW43" i="12"/>
  <c r="AR43" i="12"/>
  <c r="AS43" i="12"/>
  <c r="AX43" i="12"/>
  <c r="AY43" i="12"/>
  <c r="B44" i="12"/>
  <c r="L42" i="4"/>
  <c r="T42" i="4" s="1"/>
  <c r="B39" i="5" s="1"/>
  <c r="O42" i="4"/>
  <c r="P42" i="4" s="1"/>
  <c r="E44" i="4"/>
  <c r="I44" i="4"/>
  <c r="V26" i="4"/>
  <c r="D23" i="5" s="1"/>
  <c r="E23" i="5" s="1"/>
  <c r="S26" i="4"/>
  <c r="Q41" i="4"/>
  <c r="U41" i="4" s="1"/>
  <c r="C38" i="5" s="1"/>
  <c r="D21" i="6"/>
  <c r="E21" i="6"/>
  <c r="I45" i="4"/>
  <c r="E45" i="4"/>
  <c r="A42" i="6"/>
  <c r="A48" i="4"/>
  <c r="C26" i="7"/>
  <c r="D26" i="7" s="1"/>
  <c r="E26" i="7" s="1"/>
  <c r="H22" i="5"/>
  <c r="J22" i="5"/>
  <c r="K22" i="5" s="1"/>
  <c r="G43" i="4"/>
  <c r="H43" i="4" s="1"/>
  <c r="F43" i="4"/>
  <c r="I43" i="5"/>
  <c r="B41" i="6"/>
  <c r="F41" i="6" s="1"/>
  <c r="C46" i="4"/>
  <c r="D46" i="4"/>
  <c r="F23" i="5" l="1"/>
  <c r="G23" i="5"/>
  <c r="K43" i="4"/>
  <c r="M43" i="4"/>
  <c r="N43" i="4" s="1"/>
  <c r="D40" i="2" s="1"/>
  <c r="J45" i="4"/>
  <c r="J44" i="4"/>
  <c r="B27" i="7"/>
  <c r="G44" i="4"/>
  <c r="H44" i="4" s="1"/>
  <c r="F45" i="4" s="1"/>
  <c r="F44" i="4"/>
  <c r="B40" i="2"/>
  <c r="I46" i="4"/>
  <c r="E46" i="4"/>
  <c r="Q42" i="4"/>
  <c r="U42" i="4" s="1"/>
  <c r="C39" i="5" s="1"/>
  <c r="A43" i="6"/>
  <c r="A49" i="4"/>
  <c r="G22" i="6"/>
  <c r="H22" i="6" s="1"/>
  <c r="I22" i="6" s="1"/>
  <c r="R27" i="4" s="1"/>
  <c r="C22" i="6"/>
  <c r="AR44" i="12"/>
  <c r="AR2" i="12" s="1"/>
  <c r="B48" i="4" s="1"/>
  <c r="AX44" i="12"/>
  <c r="AS44" i="12"/>
  <c r="AY44" i="12"/>
  <c r="B45" i="12"/>
  <c r="AT44" i="12"/>
  <c r="AZ44" i="12"/>
  <c r="AU44" i="12"/>
  <c r="BA44" i="12"/>
  <c r="C44" i="12"/>
  <c r="AV44" i="12"/>
  <c r="AW44" i="12"/>
  <c r="BB44" i="12"/>
  <c r="BC44" i="12"/>
  <c r="B47" i="4"/>
  <c r="M45" i="4" l="1"/>
  <c r="N45" i="4" s="1"/>
  <c r="K45" i="4"/>
  <c r="I45" i="5"/>
  <c r="B43" i="6"/>
  <c r="F43" i="6" s="1"/>
  <c r="D48" i="4"/>
  <c r="L43" i="4"/>
  <c r="O43" i="4"/>
  <c r="P43" i="4" s="1"/>
  <c r="AV45" i="12"/>
  <c r="BB45" i="12"/>
  <c r="AW45" i="12"/>
  <c r="C45" i="12"/>
  <c r="AX45" i="12"/>
  <c r="BD45" i="12"/>
  <c r="AS45" i="12"/>
  <c r="AS2" i="12" s="1"/>
  <c r="B49" i="4" s="1"/>
  <c r="AY45" i="12"/>
  <c r="AU45" i="12"/>
  <c r="AZ45" i="12"/>
  <c r="BA45" i="12"/>
  <c r="BC45" i="12"/>
  <c r="B46" i="12"/>
  <c r="AT45" i="12"/>
  <c r="D22" i="6"/>
  <c r="E22" i="6"/>
  <c r="K44" i="4"/>
  <c r="M44" i="4"/>
  <c r="N44" i="4" s="1"/>
  <c r="H23" i="5"/>
  <c r="J23" i="5"/>
  <c r="K23" i="5" s="1"/>
  <c r="V27" i="4"/>
  <c r="D24" i="5" s="1"/>
  <c r="E24" i="5" s="1"/>
  <c r="S27" i="4"/>
  <c r="I44" i="5"/>
  <c r="D47" i="4"/>
  <c r="B42" i="6"/>
  <c r="F42" i="6" s="1"/>
  <c r="C47" i="4"/>
  <c r="C48" i="4" s="1"/>
  <c r="G45" i="4"/>
  <c r="H45" i="4" s="1"/>
  <c r="F46" i="4" s="1"/>
  <c r="A44" i="6"/>
  <c r="A50" i="4"/>
  <c r="J46" i="4"/>
  <c r="C27" i="7"/>
  <c r="D27" i="7" s="1"/>
  <c r="E27" i="7" s="1"/>
  <c r="K46" i="4" l="1"/>
  <c r="M46" i="4"/>
  <c r="N46" i="4" s="1"/>
  <c r="AT46" i="12"/>
  <c r="AT2" i="12" s="1"/>
  <c r="B50" i="4" s="1"/>
  <c r="AZ46" i="12"/>
  <c r="AV46" i="12"/>
  <c r="BB46" i="12"/>
  <c r="AW46" i="12"/>
  <c r="BC46" i="12"/>
  <c r="AU46" i="12"/>
  <c r="B47" i="12"/>
  <c r="AX46" i="12"/>
  <c r="AY46" i="12"/>
  <c r="BA46" i="12"/>
  <c r="BD46" i="12"/>
  <c r="C46" i="12"/>
  <c r="BE46" i="12"/>
  <c r="I46" i="5"/>
  <c r="B44" i="6"/>
  <c r="F44" i="6" s="1"/>
  <c r="C49" i="4"/>
  <c r="D49" i="4"/>
  <c r="B28" i="7"/>
  <c r="E47" i="4"/>
  <c r="I47" i="4"/>
  <c r="C23" i="6"/>
  <c r="G23" i="6"/>
  <c r="H23" i="6" s="1"/>
  <c r="I23" i="6" s="1"/>
  <c r="R28" i="4" s="1"/>
  <c r="I48" i="4"/>
  <c r="E48" i="4"/>
  <c r="L45" i="4"/>
  <c r="T45" i="4" s="1"/>
  <c r="B42" i="5" s="1"/>
  <c r="O45" i="4"/>
  <c r="P45" i="4" s="1"/>
  <c r="Q43" i="4"/>
  <c r="E5" i="2"/>
  <c r="L44" i="4"/>
  <c r="T44" i="4" s="1"/>
  <c r="B41" i="5" s="1"/>
  <c r="O44" i="4"/>
  <c r="P44" i="4" s="1"/>
  <c r="C40" i="2"/>
  <c r="T43" i="4"/>
  <c r="B40" i="5" s="1"/>
  <c r="G24" i="5"/>
  <c r="F24" i="5"/>
  <c r="G46" i="4"/>
  <c r="H46" i="4" s="1"/>
  <c r="A45" i="6"/>
  <c r="A51" i="4"/>
  <c r="C28" i="7" l="1"/>
  <c r="D28" i="7" s="1"/>
  <c r="E28" i="7" s="1"/>
  <c r="A46" i="6"/>
  <c r="A52" i="4"/>
  <c r="E40" i="2"/>
  <c r="U43" i="4"/>
  <c r="C40" i="5" s="1"/>
  <c r="C48" i="2" s="1"/>
  <c r="Q44" i="4"/>
  <c r="U44" i="4" s="1"/>
  <c r="C41" i="5" s="1"/>
  <c r="J48" i="4"/>
  <c r="V28" i="4"/>
  <c r="D25" i="5" s="1"/>
  <c r="E25" i="5" s="1"/>
  <c r="S28" i="4"/>
  <c r="I47" i="5"/>
  <c r="D50" i="4"/>
  <c r="B45" i="6"/>
  <c r="F45" i="6" s="1"/>
  <c r="C50" i="4"/>
  <c r="E49" i="4"/>
  <c r="I49" i="4"/>
  <c r="D23" i="6"/>
  <c r="E23" i="6" s="1"/>
  <c r="H24" i="5"/>
  <c r="J24" i="5"/>
  <c r="K24" i="5" s="1"/>
  <c r="Q45" i="4"/>
  <c r="U45" i="4" s="1"/>
  <c r="C42" i="5" s="1"/>
  <c r="J47" i="4"/>
  <c r="AX47" i="12"/>
  <c r="BD47" i="12"/>
  <c r="C47" i="12"/>
  <c r="AZ47" i="12"/>
  <c r="BF47" i="12"/>
  <c r="AU47" i="12"/>
  <c r="AU2" i="12" s="1"/>
  <c r="B51" i="4" s="1"/>
  <c r="BA47" i="12"/>
  <c r="BE47" i="12"/>
  <c r="AV47" i="12"/>
  <c r="B48" i="12"/>
  <c r="AW47" i="12"/>
  <c r="AY47" i="12"/>
  <c r="BB47" i="12"/>
  <c r="BC47" i="12"/>
  <c r="B48" i="2"/>
  <c r="G47" i="4"/>
  <c r="H47" i="4" s="1"/>
  <c r="F48" i="4" s="1"/>
  <c r="F47" i="4"/>
  <c r="L46" i="4"/>
  <c r="T46" i="4" s="1"/>
  <c r="B43" i="5" s="1"/>
  <c r="O46" i="4"/>
  <c r="P46" i="4" s="1"/>
  <c r="M48" i="4" l="1"/>
  <c r="N48" i="4" s="1"/>
  <c r="K48" i="4"/>
  <c r="G24" i="6"/>
  <c r="H24" i="6" s="1"/>
  <c r="I24" i="6" s="1"/>
  <c r="R29" i="4" s="1"/>
  <c r="C24" i="6"/>
  <c r="J49" i="4"/>
  <c r="Q46" i="4"/>
  <c r="U46" i="4" s="1"/>
  <c r="C43" i="5" s="1"/>
  <c r="A47" i="6"/>
  <c r="A53" i="4"/>
  <c r="AV48" i="12"/>
  <c r="AV2" i="12" s="1"/>
  <c r="B52" i="4" s="1"/>
  <c r="BB48" i="12"/>
  <c r="AX48" i="12"/>
  <c r="BD48" i="12"/>
  <c r="AY48" i="12"/>
  <c r="BE48" i="12"/>
  <c r="BC48" i="12"/>
  <c r="BF48" i="12"/>
  <c r="C48" i="12"/>
  <c r="BG48" i="12"/>
  <c r="AW48" i="12"/>
  <c r="B49" i="12"/>
  <c r="AZ48" i="12"/>
  <c r="BA48" i="12"/>
  <c r="G48" i="4"/>
  <c r="H48" i="4" s="1"/>
  <c r="F49" i="4" s="1"/>
  <c r="I48" i="5"/>
  <c r="C51" i="4"/>
  <c r="D51" i="4"/>
  <c r="B46" i="6"/>
  <c r="F46" i="6" s="1"/>
  <c r="I50" i="4"/>
  <c r="E50" i="4"/>
  <c r="F25" i="5"/>
  <c r="G25" i="5"/>
  <c r="K47" i="4"/>
  <c r="M47" i="4"/>
  <c r="N47" i="4" s="1"/>
  <c r="B29" i="7"/>
  <c r="K49" i="4" l="1"/>
  <c r="M49" i="4"/>
  <c r="N49" i="4" s="1"/>
  <c r="G50" i="4"/>
  <c r="H50" i="4" s="1"/>
  <c r="L47" i="4"/>
  <c r="T47" i="4" s="1"/>
  <c r="B44" i="5" s="1"/>
  <c r="O47" i="4"/>
  <c r="P47" i="4" s="1"/>
  <c r="C29" i="7"/>
  <c r="D29" i="7" s="1"/>
  <c r="E29" i="7" s="1"/>
  <c r="B30" i="7"/>
  <c r="G49" i="4"/>
  <c r="H49" i="4" s="1"/>
  <c r="F50" i="4" s="1"/>
  <c r="AZ49" i="12"/>
  <c r="BF49" i="12"/>
  <c r="C49" i="12"/>
  <c r="BB49" i="12"/>
  <c r="BH49" i="12"/>
  <c r="AW49" i="12"/>
  <c r="AW2" i="12" s="1"/>
  <c r="B53" i="4" s="1"/>
  <c r="BC49" i="12"/>
  <c r="BA49" i="12"/>
  <c r="BD49" i="12"/>
  <c r="BE49" i="12"/>
  <c r="BG49" i="12"/>
  <c r="AX49" i="12"/>
  <c r="B50" i="12"/>
  <c r="AY49" i="12"/>
  <c r="D24" i="6"/>
  <c r="E24" i="6"/>
  <c r="H25" i="5"/>
  <c r="J25" i="5"/>
  <c r="K25" i="5" s="1"/>
  <c r="A48" i="6"/>
  <c r="A54" i="4"/>
  <c r="V29" i="4"/>
  <c r="D26" i="5" s="1"/>
  <c r="E26" i="5" s="1"/>
  <c r="S29" i="4"/>
  <c r="J50" i="4"/>
  <c r="L48" i="4"/>
  <c r="T48" i="4" s="1"/>
  <c r="B45" i="5" s="1"/>
  <c r="O48" i="4"/>
  <c r="P48" i="4" s="1"/>
  <c r="I49" i="5"/>
  <c r="B47" i="6"/>
  <c r="F47" i="6" s="1"/>
  <c r="C52" i="4"/>
  <c r="D52" i="4"/>
  <c r="I51" i="4"/>
  <c r="E51" i="4"/>
  <c r="M50" i="4" l="1"/>
  <c r="N50" i="4" s="1"/>
  <c r="K50" i="4"/>
  <c r="C25" i="6"/>
  <c r="G25" i="6"/>
  <c r="H25" i="6" s="1"/>
  <c r="I25" i="6" s="1"/>
  <c r="R30" i="4" s="1"/>
  <c r="Q48" i="4"/>
  <c r="U48" i="4" s="1"/>
  <c r="C45" i="5" s="1"/>
  <c r="A49" i="6"/>
  <c r="A55" i="4"/>
  <c r="Q47" i="4"/>
  <c r="U47" i="4" s="1"/>
  <c r="C44" i="5" s="1"/>
  <c r="AX50" i="12"/>
  <c r="AX2" i="12" s="1"/>
  <c r="B54" i="4" s="1"/>
  <c r="BD50" i="12"/>
  <c r="AZ50" i="12"/>
  <c r="BF50" i="12"/>
  <c r="BA50" i="12"/>
  <c r="BG50" i="12"/>
  <c r="AY50" i="12"/>
  <c r="B51" i="12"/>
  <c r="BB50" i="12"/>
  <c r="BC50" i="12"/>
  <c r="BE50" i="12"/>
  <c r="BH50" i="12"/>
  <c r="C50" i="12"/>
  <c r="BI50" i="12"/>
  <c r="E52" i="4"/>
  <c r="I52" i="4"/>
  <c r="F51" i="4"/>
  <c r="G51" i="4"/>
  <c r="H51" i="4" s="1"/>
  <c r="J51" i="4"/>
  <c r="I50" i="5"/>
  <c r="B48" i="6"/>
  <c r="F48" i="6" s="1"/>
  <c r="D53" i="4"/>
  <c r="C53" i="4"/>
  <c r="L49" i="4"/>
  <c r="T49" i="4" s="1"/>
  <c r="B46" i="5" s="1"/>
  <c r="O49" i="4"/>
  <c r="P49" i="4" s="1"/>
  <c r="F26" i="5"/>
  <c r="G26" i="5"/>
  <c r="C30" i="7"/>
  <c r="D30" i="7" s="1"/>
  <c r="E30" i="7" s="1"/>
  <c r="B31" i="7" l="1"/>
  <c r="I51" i="5"/>
  <c r="C54" i="4"/>
  <c r="D54" i="4"/>
  <c r="B49" i="6"/>
  <c r="F49" i="6" s="1"/>
  <c r="D25" i="6"/>
  <c r="E25" i="6"/>
  <c r="E53" i="4"/>
  <c r="I53" i="4"/>
  <c r="M51" i="4"/>
  <c r="N51" i="4" s="1"/>
  <c r="K51" i="4"/>
  <c r="L50" i="4"/>
  <c r="T50" i="4" s="1"/>
  <c r="B47" i="5" s="1"/>
  <c r="O50" i="4"/>
  <c r="P50" i="4" s="1"/>
  <c r="A50" i="6"/>
  <c r="A56" i="4"/>
  <c r="H26" i="5"/>
  <c r="J26" i="5"/>
  <c r="K26" i="5" s="1"/>
  <c r="J52" i="4"/>
  <c r="Q49" i="4"/>
  <c r="U49" i="4" s="1"/>
  <c r="C46" i="5" s="1"/>
  <c r="G52" i="4"/>
  <c r="H52" i="4" s="1"/>
  <c r="F52" i="4"/>
  <c r="BB51" i="12"/>
  <c r="BH51" i="12"/>
  <c r="C51" i="12"/>
  <c r="BD51" i="12"/>
  <c r="BJ51" i="12"/>
  <c r="AY51" i="12"/>
  <c r="AY2" i="12" s="1"/>
  <c r="BE51" i="12"/>
  <c r="BI51" i="12"/>
  <c r="AZ51" i="12"/>
  <c r="B52" i="12"/>
  <c r="BA51" i="12"/>
  <c r="BC51" i="12"/>
  <c r="BF51" i="12"/>
  <c r="BG51" i="12"/>
  <c r="V30" i="4"/>
  <c r="D27" i="5" s="1"/>
  <c r="E27" i="5" s="1"/>
  <c r="S30" i="4"/>
  <c r="A51" i="6" l="1"/>
  <c r="A57" i="4"/>
  <c r="F27" i="5"/>
  <c r="G27" i="5"/>
  <c r="AZ52" i="12"/>
  <c r="AZ2" i="12" s="1"/>
  <c r="BF52" i="12"/>
  <c r="BB52" i="12"/>
  <c r="BH52" i="12"/>
  <c r="BC52" i="12"/>
  <c r="BI52" i="12"/>
  <c r="BG52" i="12"/>
  <c r="BJ52" i="12"/>
  <c r="C52" i="12"/>
  <c r="BK52" i="12"/>
  <c r="BA52" i="12"/>
  <c r="B53" i="12"/>
  <c r="BD52" i="12"/>
  <c r="BE52" i="12"/>
  <c r="I54" i="4"/>
  <c r="E54" i="4"/>
  <c r="Q50" i="4"/>
  <c r="U50" i="4" s="1"/>
  <c r="C47" i="5" s="1"/>
  <c r="K52" i="4"/>
  <c r="M52" i="4"/>
  <c r="N52" i="4" s="1"/>
  <c r="G53" i="4"/>
  <c r="H53" i="4" s="1"/>
  <c r="F53" i="4"/>
  <c r="G26" i="6"/>
  <c r="H26" i="6" s="1"/>
  <c r="I26" i="6" s="1"/>
  <c r="R31" i="4" s="1"/>
  <c r="C26" i="6"/>
  <c r="C31" i="7"/>
  <c r="D31" i="7" s="1"/>
  <c r="E31" i="7" s="1"/>
  <c r="J53" i="4"/>
  <c r="B55" i="4"/>
  <c r="AY1" i="12"/>
  <c r="L51" i="4"/>
  <c r="T51" i="4" s="1"/>
  <c r="B48" i="5" s="1"/>
  <c r="O51" i="4"/>
  <c r="P51" i="4" s="1"/>
  <c r="M53" i="4" l="1"/>
  <c r="N53" i="4" s="1"/>
  <c r="K53" i="4"/>
  <c r="BD53" i="12"/>
  <c r="BJ53" i="12"/>
  <c r="C53" i="12"/>
  <c r="BF53" i="12"/>
  <c r="BL53" i="12"/>
  <c r="BA53" i="12"/>
  <c r="BA2" i="12" s="1"/>
  <c r="B57" i="4" s="1"/>
  <c r="BG53" i="12"/>
  <c r="BE53" i="12"/>
  <c r="BH53" i="12"/>
  <c r="BI53" i="12"/>
  <c r="BK53" i="12"/>
  <c r="BB53" i="12"/>
  <c r="B54" i="12"/>
  <c r="BC53" i="12"/>
  <c r="H27" i="5"/>
  <c r="J27" i="5"/>
  <c r="K27" i="5" s="1"/>
  <c r="J54" i="4"/>
  <c r="B32" i="7"/>
  <c r="D26" i="6"/>
  <c r="E26" i="6" s="1"/>
  <c r="Q51" i="4"/>
  <c r="U51" i="4" s="1"/>
  <c r="C48" i="5" s="1"/>
  <c r="F39" i="2"/>
  <c r="G39" i="2" s="1"/>
  <c r="V31" i="4"/>
  <c r="D28" i="5" s="1"/>
  <c r="S31" i="4"/>
  <c r="I52" i="5"/>
  <c r="B50" i="6"/>
  <c r="F50" i="6" s="1"/>
  <c r="C55" i="4"/>
  <c r="B32" i="2" s="1"/>
  <c r="D55" i="4"/>
  <c r="F54" i="4"/>
  <c r="G54" i="4"/>
  <c r="H54" i="4" s="1"/>
  <c r="A52" i="6"/>
  <c r="A58" i="4"/>
  <c r="L52" i="4"/>
  <c r="T52" i="4" s="1"/>
  <c r="B49" i="5" s="1"/>
  <c r="O52" i="4"/>
  <c r="P52" i="4" s="1"/>
  <c r="B56" i="4"/>
  <c r="C27" i="6" l="1"/>
  <c r="G27" i="6"/>
  <c r="H27" i="6" s="1"/>
  <c r="I27" i="6" s="1"/>
  <c r="R32" i="4" s="1"/>
  <c r="F4" i="2"/>
  <c r="Q52" i="4"/>
  <c r="U52" i="4" s="1"/>
  <c r="C49" i="5" s="1"/>
  <c r="K54" i="4"/>
  <c r="M54" i="4"/>
  <c r="N54" i="4" s="1"/>
  <c r="I55" i="4"/>
  <c r="E55" i="4"/>
  <c r="BB54" i="12"/>
  <c r="BB2" i="12" s="1"/>
  <c r="BH54" i="12"/>
  <c r="BD54" i="12"/>
  <c r="BJ54" i="12"/>
  <c r="BE54" i="12"/>
  <c r="BK54" i="12"/>
  <c r="BC54" i="12"/>
  <c r="B55" i="12"/>
  <c r="BF54" i="12"/>
  <c r="BG54" i="12"/>
  <c r="BI54" i="12"/>
  <c r="BL54" i="12"/>
  <c r="C54" i="12"/>
  <c r="BM54" i="12"/>
  <c r="I54" i="5"/>
  <c r="B52" i="6"/>
  <c r="F52" i="6" s="1"/>
  <c r="D57" i="4"/>
  <c r="L53" i="4"/>
  <c r="T53" i="4" s="1"/>
  <c r="B50" i="5" s="1"/>
  <c r="O53" i="4"/>
  <c r="P53" i="4" s="1"/>
  <c r="E28" i="5"/>
  <c r="D47" i="2"/>
  <c r="I53" i="5"/>
  <c r="B51" i="6"/>
  <c r="F51" i="6" s="1"/>
  <c r="D56" i="4"/>
  <c r="C56" i="4"/>
  <c r="C57" i="4" s="1"/>
  <c r="A53" i="6"/>
  <c r="A59" i="4"/>
  <c r="C32" i="7"/>
  <c r="D32" i="7" s="1"/>
  <c r="E32" i="7" s="1"/>
  <c r="B33" i="7"/>
  <c r="A54" i="6" l="1"/>
  <c r="A60" i="4"/>
  <c r="F55" i="4"/>
  <c r="G55" i="4"/>
  <c r="H55" i="4" s="1"/>
  <c r="I56" i="4"/>
  <c r="E56" i="4"/>
  <c r="V32" i="4"/>
  <c r="D29" i="5" s="1"/>
  <c r="S32" i="4"/>
  <c r="J55" i="4"/>
  <c r="Q53" i="4"/>
  <c r="U53" i="4" s="1"/>
  <c r="C50" i="5" s="1"/>
  <c r="BF55" i="12"/>
  <c r="BL55" i="12"/>
  <c r="C55" i="12"/>
  <c r="BH55" i="12"/>
  <c r="BN55" i="12"/>
  <c r="BC55" i="12"/>
  <c r="BC2" i="12" s="1"/>
  <c r="B59" i="4" s="1"/>
  <c r="BI55" i="12"/>
  <c r="BM55" i="12"/>
  <c r="BD55" i="12"/>
  <c r="B56" i="12"/>
  <c r="BE55" i="12"/>
  <c r="BG55" i="12"/>
  <c r="BJ55" i="12"/>
  <c r="BK55" i="12"/>
  <c r="L54" i="4"/>
  <c r="T54" i="4" s="1"/>
  <c r="B51" i="5" s="1"/>
  <c r="O54" i="4"/>
  <c r="P54" i="4" s="1"/>
  <c r="D27" i="6"/>
  <c r="E27" i="6"/>
  <c r="C33" i="7"/>
  <c r="D33" i="7" s="1"/>
  <c r="E33" i="7" s="1"/>
  <c r="F28" i="5"/>
  <c r="F47" i="2" s="1"/>
  <c r="G28" i="5"/>
  <c r="E47" i="2"/>
  <c r="I57" i="4"/>
  <c r="E57" i="4"/>
  <c r="B58" i="4"/>
  <c r="H28" i="5" l="1"/>
  <c r="J28" i="5"/>
  <c r="K28" i="5" s="1"/>
  <c r="G47" i="2"/>
  <c r="Q54" i="4"/>
  <c r="U54" i="4" s="1"/>
  <c r="C51" i="5" s="1"/>
  <c r="BD56" i="12"/>
  <c r="BD2" i="12" s="1"/>
  <c r="BJ56" i="12"/>
  <c r="BF56" i="12"/>
  <c r="BL56" i="12"/>
  <c r="BG56" i="12"/>
  <c r="BM56" i="12"/>
  <c r="BK56" i="12"/>
  <c r="C56" i="12"/>
  <c r="BO56" i="12"/>
  <c r="BE56" i="12"/>
  <c r="B57" i="12"/>
  <c r="BH56" i="12"/>
  <c r="BN56" i="12"/>
  <c r="BI56" i="12"/>
  <c r="F56" i="4"/>
  <c r="G56" i="4"/>
  <c r="H56" i="4" s="1"/>
  <c r="J56" i="4"/>
  <c r="A55" i="6"/>
  <c r="A61" i="4"/>
  <c r="I55" i="5"/>
  <c r="B53" i="6"/>
  <c r="F53" i="6" s="1"/>
  <c r="C58" i="4"/>
  <c r="D58" i="4"/>
  <c r="F57" i="4"/>
  <c r="G57" i="4"/>
  <c r="H57" i="4" s="1"/>
  <c r="K55" i="4"/>
  <c r="M55" i="4"/>
  <c r="N55" i="4" s="1"/>
  <c r="D41" i="2" s="1"/>
  <c r="J57" i="4"/>
  <c r="G28" i="6"/>
  <c r="H28" i="6" s="1"/>
  <c r="I28" i="6" s="1"/>
  <c r="R33" i="4" s="1"/>
  <c r="C28" i="6"/>
  <c r="I56" i="5"/>
  <c r="B54" i="6"/>
  <c r="F54" i="6" s="1"/>
  <c r="C59" i="4"/>
  <c r="D59" i="4"/>
  <c r="B41" i="2"/>
  <c r="E29" i="5"/>
  <c r="B34" i="7"/>
  <c r="I47" i="2"/>
  <c r="K47" i="2" s="1"/>
  <c r="V33" i="4" l="1"/>
  <c r="D30" i="5" s="1"/>
  <c r="S33" i="4"/>
  <c r="A62" i="4"/>
  <c r="A56" i="6"/>
  <c r="K56" i="4"/>
  <c r="M56" i="4"/>
  <c r="N56" i="4" s="1"/>
  <c r="C34" i="7"/>
  <c r="D34" i="7" s="1"/>
  <c r="E34" i="7" s="1"/>
  <c r="I58" i="4"/>
  <c r="E58" i="4"/>
  <c r="B60" i="4"/>
  <c r="H48" i="2"/>
  <c r="L47" i="2"/>
  <c r="I59" i="4"/>
  <c r="L55" i="4"/>
  <c r="O55" i="4"/>
  <c r="P55" i="4" s="1"/>
  <c r="K57" i="4"/>
  <c r="M57" i="4"/>
  <c r="N57" i="4" s="1"/>
  <c r="F29" i="5"/>
  <c r="G29" i="5"/>
  <c r="D28" i="6"/>
  <c r="E28" i="6"/>
  <c r="BH57" i="12"/>
  <c r="BN57" i="12"/>
  <c r="C57" i="12"/>
  <c r="BJ57" i="12"/>
  <c r="BP57" i="12"/>
  <c r="BE57" i="12"/>
  <c r="BE2" i="12" s="1"/>
  <c r="B61" i="4" s="1"/>
  <c r="BK57" i="12"/>
  <c r="BI57" i="12"/>
  <c r="BM57" i="12"/>
  <c r="BO57" i="12"/>
  <c r="BF57" i="12"/>
  <c r="B58" i="12"/>
  <c r="BG57" i="12"/>
  <c r="BL57" i="12"/>
  <c r="Q55" i="4" l="1"/>
  <c r="E6" i="2"/>
  <c r="BF58" i="12"/>
  <c r="BF2" i="12" s="1"/>
  <c r="B62" i="4" s="1"/>
  <c r="BL58" i="12"/>
  <c r="BH58" i="12"/>
  <c r="BN58" i="12"/>
  <c r="BI58" i="12"/>
  <c r="BO58" i="12"/>
  <c r="BG58" i="12"/>
  <c r="B59" i="12"/>
  <c r="BK58" i="12"/>
  <c r="BM58" i="12"/>
  <c r="BP58" i="12"/>
  <c r="C58" i="12"/>
  <c r="BJ58" i="12"/>
  <c r="BQ58" i="12"/>
  <c r="A57" i="6"/>
  <c r="A63" i="4"/>
  <c r="C41" i="2"/>
  <c r="T55" i="4"/>
  <c r="B52" i="5" s="1"/>
  <c r="G58" i="4"/>
  <c r="H58" i="4" s="1"/>
  <c r="F58" i="4"/>
  <c r="L57" i="4"/>
  <c r="T57" i="4" s="1"/>
  <c r="B54" i="5" s="1"/>
  <c r="O57" i="4"/>
  <c r="P57" i="4" s="1"/>
  <c r="J58" i="4"/>
  <c r="J59" i="4"/>
  <c r="I57" i="5"/>
  <c r="B55" i="6"/>
  <c r="F55" i="6" s="1"/>
  <c r="C60" i="4"/>
  <c r="C61" i="4" s="1"/>
  <c r="D60" i="4"/>
  <c r="B35" i="7"/>
  <c r="I58" i="5"/>
  <c r="B56" i="6"/>
  <c r="F56" i="6" s="1"/>
  <c r="D61" i="4"/>
  <c r="L56" i="4"/>
  <c r="T56" i="4" s="1"/>
  <c r="B53" i="5" s="1"/>
  <c r="O56" i="4"/>
  <c r="P56" i="4" s="1"/>
  <c r="C29" i="6"/>
  <c r="G29" i="6"/>
  <c r="H29" i="6" s="1"/>
  <c r="I29" i="6" s="1"/>
  <c r="R34" i="4" s="1"/>
  <c r="H29" i="5"/>
  <c r="J29" i="5"/>
  <c r="E59" i="4"/>
  <c r="E30" i="5"/>
  <c r="K29" i="5" l="1"/>
  <c r="F59" i="4"/>
  <c r="G59" i="4"/>
  <c r="H59" i="4" s="1"/>
  <c r="Q56" i="4"/>
  <c r="U56" i="4" s="1"/>
  <c r="C53" i="5" s="1"/>
  <c r="C35" i="7"/>
  <c r="D35" i="7" s="1"/>
  <c r="E35" i="7" s="1"/>
  <c r="B36" i="7"/>
  <c r="I59" i="5"/>
  <c r="B57" i="6"/>
  <c r="F57" i="6" s="1"/>
  <c r="D62" i="4"/>
  <c r="C62" i="4"/>
  <c r="B49" i="2"/>
  <c r="Q57" i="4"/>
  <c r="U57" i="4" s="1"/>
  <c r="C54" i="5" s="1"/>
  <c r="I60" i="4"/>
  <c r="E60" i="4"/>
  <c r="BJ59" i="12"/>
  <c r="BP59" i="12"/>
  <c r="C59" i="12"/>
  <c r="BL59" i="12"/>
  <c r="BR59" i="12"/>
  <c r="BG59" i="12"/>
  <c r="BG2" i="12" s="1"/>
  <c r="BM59" i="12"/>
  <c r="BQ59" i="12"/>
  <c r="BI59" i="12"/>
  <c r="BK59" i="12"/>
  <c r="BN59" i="12"/>
  <c r="BH59" i="12"/>
  <c r="BO59" i="12"/>
  <c r="B60" i="12"/>
  <c r="V34" i="4"/>
  <c r="D31" i="5" s="1"/>
  <c r="S34" i="4"/>
  <c r="A58" i="6"/>
  <c r="A64" i="4"/>
  <c r="I61" i="4"/>
  <c r="E61" i="4"/>
  <c r="G30" i="5"/>
  <c r="F30" i="5"/>
  <c r="D29" i="6"/>
  <c r="E29" i="6"/>
  <c r="M58" i="4"/>
  <c r="N58" i="4" s="1"/>
  <c r="K58" i="4"/>
  <c r="E41" i="2"/>
  <c r="U55" i="4"/>
  <c r="C52" i="5" s="1"/>
  <c r="C49" i="2" s="1"/>
  <c r="BH60" i="12" l="1"/>
  <c r="BH2" i="12" s="1"/>
  <c r="B64" i="4" s="1"/>
  <c r="BN60" i="12"/>
  <c r="BJ60" i="12"/>
  <c r="BP60" i="12"/>
  <c r="BK60" i="12"/>
  <c r="BQ60" i="12"/>
  <c r="BO60" i="12"/>
  <c r="C60" i="12"/>
  <c r="BS60" i="12"/>
  <c r="BI60" i="12"/>
  <c r="B61" i="12"/>
  <c r="BL60" i="12"/>
  <c r="BM60" i="12"/>
  <c r="BR60" i="12"/>
  <c r="G30" i="6"/>
  <c r="H30" i="6" s="1"/>
  <c r="I30" i="6" s="1"/>
  <c r="R35" i="4" s="1"/>
  <c r="C30" i="6"/>
  <c r="B63" i="4"/>
  <c r="L58" i="4"/>
  <c r="T58" i="4" s="1"/>
  <c r="B55" i="5" s="1"/>
  <c r="O58" i="4"/>
  <c r="P58" i="4" s="1"/>
  <c r="J60" i="4"/>
  <c r="E62" i="4"/>
  <c r="I62" i="4"/>
  <c r="C36" i="7"/>
  <c r="D36" i="7" s="1"/>
  <c r="E36" i="7" s="1"/>
  <c r="J61" i="4"/>
  <c r="G60" i="4"/>
  <c r="H60" i="4" s="1"/>
  <c r="G61" i="4" s="1"/>
  <c r="H61" i="4" s="1"/>
  <c r="F60" i="4"/>
  <c r="K59" i="4"/>
  <c r="M59" i="4"/>
  <c r="N59" i="4" s="1"/>
  <c r="A59" i="6"/>
  <c r="A65" i="4"/>
  <c r="H30" i="5"/>
  <c r="J30" i="5"/>
  <c r="E31" i="5"/>
  <c r="F61" i="4" l="1"/>
  <c r="V35" i="4"/>
  <c r="D32" i="5" s="1"/>
  <c r="S35" i="4"/>
  <c r="BL61" i="12"/>
  <c r="BR61" i="12"/>
  <c r="C61" i="12"/>
  <c r="BN61" i="12"/>
  <c r="BT61" i="12"/>
  <c r="BI61" i="12"/>
  <c r="BI2" i="12" s="1"/>
  <c r="B65" i="4" s="1"/>
  <c r="BO61" i="12"/>
  <c r="BM61" i="12"/>
  <c r="BQ61" i="12"/>
  <c r="BS61" i="12"/>
  <c r="BJ61" i="12"/>
  <c r="B62" i="12"/>
  <c r="BP61" i="12"/>
  <c r="BK61" i="12"/>
  <c r="M60" i="4"/>
  <c r="N60" i="4" s="1"/>
  <c r="K60" i="4"/>
  <c r="G31" i="5"/>
  <c r="F31" i="5"/>
  <c r="A60" i="6"/>
  <c r="A66" i="4"/>
  <c r="Q58" i="4"/>
  <c r="U58" i="4" s="1"/>
  <c r="C55" i="5" s="1"/>
  <c r="B37" i="7"/>
  <c r="K30" i="5"/>
  <c r="J62" i="4"/>
  <c r="F62" i="4"/>
  <c r="G62" i="4"/>
  <c r="H62" i="4" s="1"/>
  <c r="I60" i="5"/>
  <c r="B58" i="6"/>
  <c r="F58" i="6" s="1"/>
  <c r="C63" i="4"/>
  <c r="C64" i="4" s="1"/>
  <c r="D63" i="4"/>
  <c r="I61" i="5"/>
  <c r="B59" i="6"/>
  <c r="F59" i="6" s="1"/>
  <c r="D64" i="4"/>
  <c r="L59" i="4"/>
  <c r="T59" i="4" s="1"/>
  <c r="B56" i="5" s="1"/>
  <c r="O59" i="4"/>
  <c r="P59" i="4" s="1"/>
  <c r="D30" i="6"/>
  <c r="E30" i="6" s="1"/>
  <c r="C31" i="6" l="1"/>
  <c r="G31" i="6"/>
  <c r="H31" i="6" s="1"/>
  <c r="I31" i="6" s="1"/>
  <c r="R36" i="4" s="1"/>
  <c r="C37" i="7"/>
  <c r="D37" i="7" s="1"/>
  <c r="E37" i="7" s="1"/>
  <c r="B14" i="3" s="1"/>
  <c r="B38" i="7"/>
  <c r="A61" i="6"/>
  <c r="A67" i="4"/>
  <c r="A62" i="6" s="1"/>
  <c r="K62" i="4"/>
  <c r="M62" i="4"/>
  <c r="N62" i="4" s="1"/>
  <c r="I63" i="4"/>
  <c r="E63" i="4"/>
  <c r="E64" i="4" s="1"/>
  <c r="BJ62" i="12"/>
  <c r="BJ2" i="12" s="1"/>
  <c r="B66" i="4" s="1"/>
  <c r="BP62" i="12"/>
  <c r="BL62" i="12"/>
  <c r="BR62" i="12"/>
  <c r="BM62" i="12"/>
  <c r="BS62" i="12"/>
  <c r="BK62" i="12"/>
  <c r="B63" i="12"/>
  <c r="BO62" i="12"/>
  <c r="BQ62" i="12"/>
  <c r="BT62" i="12"/>
  <c r="C62" i="12"/>
  <c r="BN62" i="12"/>
  <c r="BU62" i="12"/>
  <c r="I64" i="4"/>
  <c r="H31" i="5"/>
  <c r="J31" i="5"/>
  <c r="E32" i="5"/>
  <c r="Q59" i="4"/>
  <c r="U59" i="4" s="1"/>
  <c r="C56" i="5" s="1"/>
  <c r="I62" i="5"/>
  <c r="B60" i="6"/>
  <c r="F60" i="6" s="1"/>
  <c r="C65" i="4"/>
  <c r="D65" i="4"/>
  <c r="L60" i="4"/>
  <c r="T60" i="4" s="1"/>
  <c r="B57" i="5" s="1"/>
  <c r="O60" i="4"/>
  <c r="P60" i="4" s="1"/>
  <c r="M61" i="4"/>
  <c r="N61" i="4" s="1"/>
  <c r="K61" i="4"/>
  <c r="I63" i="5" l="1"/>
  <c r="D66" i="4"/>
  <c r="B61" i="6"/>
  <c r="F61" i="6" s="1"/>
  <c r="C66" i="4"/>
  <c r="D14" i="3"/>
  <c r="E14" i="3"/>
  <c r="C38" i="7"/>
  <c r="D38" i="7" s="1"/>
  <c r="E38" i="7" s="1"/>
  <c r="B39" i="7"/>
  <c r="L61" i="4"/>
  <c r="T61" i="4" s="1"/>
  <c r="B58" i="5" s="1"/>
  <c r="O61" i="4"/>
  <c r="P61" i="4" s="1"/>
  <c r="E65" i="4"/>
  <c r="I65" i="4"/>
  <c r="J63" i="4"/>
  <c r="F32" i="5"/>
  <c r="G32" i="5"/>
  <c r="G63" i="4"/>
  <c r="H63" i="4" s="1"/>
  <c r="F64" i="4" s="1"/>
  <c r="F63" i="4"/>
  <c r="J64" i="4"/>
  <c r="L62" i="4"/>
  <c r="T62" i="4" s="1"/>
  <c r="B59" i="5" s="1"/>
  <c r="O62" i="4"/>
  <c r="P62" i="4" s="1"/>
  <c r="V36" i="4"/>
  <c r="D33" i="5" s="1"/>
  <c r="S36" i="4"/>
  <c r="Q60" i="4"/>
  <c r="U60" i="4" s="1"/>
  <c r="C57" i="5" s="1"/>
  <c r="K31" i="5"/>
  <c r="BN63" i="12"/>
  <c r="BT63" i="12"/>
  <c r="C63" i="12"/>
  <c r="BP63" i="12"/>
  <c r="BV63" i="12"/>
  <c r="BK63" i="12"/>
  <c r="BK2" i="12" s="1"/>
  <c r="BQ63" i="12"/>
  <c r="BU63" i="12"/>
  <c r="BM63" i="12"/>
  <c r="BO63" i="12"/>
  <c r="BR63" i="12"/>
  <c r="BS63" i="12"/>
  <c r="BL63" i="12"/>
  <c r="D31" i="6"/>
  <c r="E31" i="6"/>
  <c r="K64" i="4" l="1"/>
  <c r="M64" i="4"/>
  <c r="N64" i="4" s="1"/>
  <c r="E33" i="5"/>
  <c r="M63" i="4"/>
  <c r="N63" i="4" s="1"/>
  <c r="K63" i="4"/>
  <c r="I66" i="4"/>
  <c r="E66" i="4"/>
  <c r="G65" i="4"/>
  <c r="H65" i="4" s="1"/>
  <c r="Q62" i="4"/>
  <c r="U62" i="4" s="1"/>
  <c r="C59" i="5" s="1"/>
  <c r="J65" i="4"/>
  <c r="Q61" i="4"/>
  <c r="U61" i="4" s="1"/>
  <c r="C58" i="5" s="1"/>
  <c r="G64" i="4"/>
  <c r="H64" i="4" s="1"/>
  <c r="F65" i="4" s="1"/>
  <c r="G32" i="6"/>
  <c r="H32" i="6" s="1"/>
  <c r="I32" i="6" s="1"/>
  <c r="R37" i="4" s="1"/>
  <c r="C32" i="6"/>
  <c r="H32" i="5"/>
  <c r="J32" i="5"/>
  <c r="B67" i="4"/>
  <c r="BK1" i="12"/>
  <c r="C39" i="7"/>
  <c r="D39" i="7" s="1"/>
  <c r="E39" i="7" s="1"/>
  <c r="K65" i="4" l="1"/>
  <c r="M65" i="4"/>
  <c r="N65" i="4" s="1"/>
  <c r="L63" i="4"/>
  <c r="T63" i="4" s="1"/>
  <c r="B60" i="5" s="1"/>
  <c r="O63" i="4"/>
  <c r="P63" i="4" s="1"/>
  <c r="K32" i="5"/>
  <c r="F33" i="5"/>
  <c r="G33" i="5"/>
  <c r="B40" i="7"/>
  <c r="I64" i="5"/>
  <c r="B62" i="6"/>
  <c r="C67" i="4"/>
  <c r="B33" i="2" s="1"/>
  <c r="D67" i="4"/>
  <c r="G66" i="4"/>
  <c r="H66" i="4" s="1"/>
  <c r="F66" i="4"/>
  <c r="V37" i="4"/>
  <c r="D34" i="5" s="1"/>
  <c r="E34" i="5" s="1"/>
  <c r="S37" i="4"/>
  <c r="D32" i="6"/>
  <c r="E32" i="6"/>
  <c r="J66" i="4"/>
  <c r="L64" i="4"/>
  <c r="T64" i="4" s="1"/>
  <c r="B61" i="5" s="1"/>
  <c r="O64" i="4"/>
  <c r="P64" i="4" s="1"/>
  <c r="Q63" i="4" l="1"/>
  <c r="U63" i="4" s="1"/>
  <c r="C60" i="5" s="1"/>
  <c r="I67" i="4"/>
  <c r="E67" i="4"/>
  <c r="H33" i="5"/>
  <c r="J33" i="5"/>
  <c r="Q64" i="4"/>
  <c r="U64" i="4" s="1"/>
  <c r="C61" i="5" s="1"/>
  <c r="B41" i="7"/>
  <c r="C40" i="7"/>
  <c r="D40" i="7" s="1"/>
  <c r="E40" i="7" s="1"/>
  <c r="C33" i="6"/>
  <c r="G33" i="6"/>
  <c r="H33" i="6" s="1"/>
  <c r="I33" i="6" s="1"/>
  <c r="R38" i="4" s="1"/>
  <c r="F34" i="5"/>
  <c r="G34" i="5"/>
  <c r="F62" i="6"/>
  <c r="B63" i="6"/>
  <c r="L65" i="4"/>
  <c r="T65" i="4" s="1"/>
  <c r="B62" i="5" s="1"/>
  <c r="O65" i="4"/>
  <c r="P65" i="4" s="1"/>
  <c r="M66" i="4"/>
  <c r="N66" i="4" s="1"/>
  <c r="K66" i="4"/>
  <c r="J50" i="2"/>
  <c r="H34" i="5" l="1"/>
  <c r="J34" i="5"/>
  <c r="K34" i="5" s="1"/>
  <c r="C41" i="7"/>
  <c r="D41" i="7" s="1"/>
  <c r="E41" i="7" s="1"/>
  <c r="B42" i="7"/>
  <c r="K33" i="5"/>
  <c r="F67" i="4"/>
  <c r="G67" i="4"/>
  <c r="H67" i="4" s="1"/>
  <c r="Q65" i="4"/>
  <c r="U65" i="4" s="1"/>
  <c r="C62" i="5" s="1"/>
  <c r="V38" i="4"/>
  <c r="D35" i="5" s="1"/>
  <c r="E35" i="5" s="1"/>
  <c r="S38" i="4"/>
  <c r="J67" i="4"/>
  <c r="D33" i="6"/>
  <c r="E33" i="6" s="1"/>
  <c r="L66" i="4"/>
  <c r="T66" i="4" s="1"/>
  <c r="B63" i="5" s="1"/>
  <c r="O66" i="4"/>
  <c r="P66" i="4" s="1"/>
  <c r="G34" i="6" l="1"/>
  <c r="H34" i="6" s="1"/>
  <c r="I34" i="6" s="1"/>
  <c r="R39" i="4" s="1"/>
  <c r="C34" i="6"/>
  <c r="B42" i="2"/>
  <c r="J68" i="4"/>
  <c r="M67" i="4"/>
  <c r="N67" i="4" s="1"/>
  <c r="K67" i="4"/>
  <c r="C42" i="7"/>
  <c r="D42" i="7" s="1"/>
  <c r="E42" i="7" s="1"/>
  <c r="Q66" i="4"/>
  <c r="U66" i="4" s="1"/>
  <c r="C63" i="5" s="1"/>
  <c r="F35" i="5"/>
  <c r="G35" i="5"/>
  <c r="H35" i="5" l="1"/>
  <c r="J35" i="5"/>
  <c r="K35" i="5" s="1"/>
  <c r="D34" i="6"/>
  <c r="E34" i="6" s="1"/>
  <c r="B43" i="7"/>
  <c r="L67" i="4"/>
  <c r="O67" i="4"/>
  <c r="P67" i="4" s="1"/>
  <c r="D42" i="2"/>
  <c r="N68" i="4"/>
  <c r="V39" i="4"/>
  <c r="D36" i="5" s="1"/>
  <c r="E36" i="5" s="1"/>
  <c r="S39" i="4"/>
  <c r="C35" i="6" l="1"/>
  <c r="G35" i="6"/>
  <c r="H35" i="6" s="1"/>
  <c r="I35" i="6" s="1"/>
  <c r="R40" i="4" s="1"/>
  <c r="C43" i="7"/>
  <c r="D43" i="7" s="1"/>
  <c r="E43" i="7" s="1"/>
  <c r="G36" i="5"/>
  <c r="F36" i="5"/>
  <c r="Q67" i="4"/>
  <c r="E7" i="2"/>
  <c r="C42" i="2"/>
  <c r="L68" i="4"/>
  <c r="T67" i="4"/>
  <c r="B64" i="5" s="1"/>
  <c r="B44" i="7" l="1"/>
  <c r="B65" i="5"/>
  <c r="B51" i="2" s="1"/>
  <c r="B50" i="2"/>
  <c r="H36" i="5"/>
  <c r="J36" i="5"/>
  <c r="K36" i="5" s="1"/>
  <c r="V40" i="4"/>
  <c r="D37" i="5" s="1"/>
  <c r="E37" i="5" s="1"/>
  <c r="S40" i="4"/>
  <c r="E42" i="2"/>
  <c r="U67" i="4"/>
  <c r="C64" i="5" s="1"/>
  <c r="Q68" i="4"/>
  <c r="D35" i="6"/>
  <c r="E35" i="6"/>
  <c r="G36" i="6" l="1"/>
  <c r="H36" i="6" s="1"/>
  <c r="I36" i="6" s="1"/>
  <c r="R41" i="4" s="1"/>
  <c r="C36" i="6"/>
  <c r="F37" i="5"/>
  <c r="G37" i="5"/>
  <c r="C44" i="7"/>
  <c r="D44" i="7" s="1"/>
  <c r="E44" i="7" s="1"/>
  <c r="C65" i="5"/>
  <c r="C51" i="2" s="1"/>
  <c r="C50" i="2"/>
  <c r="V41" i="4" l="1"/>
  <c r="D38" i="5" s="1"/>
  <c r="E38" i="5" s="1"/>
  <c r="S41" i="4"/>
  <c r="B45" i="7"/>
  <c r="D36" i="6"/>
  <c r="E36" i="6" s="1"/>
  <c r="H37" i="5"/>
  <c r="J37" i="5"/>
  <c r="K37" i="5" s="1"/>
  <c r="C37" i="6" l="1"/>
  <c r="G37" i="6"/>
  <c r="H37" i="6" s="1"/>
  <c r="I37" i="6" s="1"/>
  <c r="R42" i="4" s="1"/>
  <c r="C45" i="7"/>
  <c r="D45" i="7" s="1"/>
  <c r="E45" i="7" s="1"/>
  <c r="F38" i="5"/>
  <c r="G38" i="5"/>
  <c r="D37" i="6" l="1"/>
  <c r="E37" i="6"/>
  <c r="H38" i="5"/>
  <c r="J38" i="5"/>
  <c r="K38" i="5" s="1"/>
  <c r="B46" i="7"/>
  <c r="V42" i="4"/>
  <c r="D39" i="5" s="1"/>
  <c r="E39" i="5" s="1"/>
  <c r="S42" i="4"/>
  <c r="C46" i="7" l="1"/>
  <c r="D46" i="7" s="1"/>
  <c r="E46" i="7" s="1"/>
  <c r="B47" i="7"/>
  <c r="G38" i="6"/>
  <c r="H38" i="6" s="1"/>
  <c r="I38" i="6" s="1"/>
  <c r="R43" i="4" s="1"/>
  <c r="C38" i="6"/>
  <c r="F39" i="5"/>
  <c r="G39" i="5"/>
  <c r="V43" i="4" l="1"/>
  <c r="D40" i="5" s="1"/>
  <c r="F40" i="2"/>
  <c r="G40" i="2" s="1"/>
  <c r="S43" i="4"/>
  <c r="H39" i="5"/>
  <c r="J39" i="5"/>
  <c r="K39" i="5" s="1"/>
  <c r="D38" i="6"/>
  <c r="E38" i="6"/>
  <c r="C47" i="7"/>
  <c r="D47" i="7" s="1"/>
  <c r="E47" i="7" s="1"/>
  <c r="B48" i="7"/>
  <c r="C48" i="7" l="1"/>
  <c r="D48" i="7" s="1"/>
  <c r="E48" i="7" s="1"/>
  <c r="C39" i="6"/>
  <c r="G39" i="6"/>
  <c r="H39" i="6" s="1"/>
  <c r="I39" i="6" s="1"/>
  <c r="R44" i="4" s="1"/>
  <c r="F5" i="2"/>
  <c r="E40" i="5"/>
  <c r="D48" i="2"/>
  <c r="B49" i="7" l="1"/>
  <c r="F40" i="5"/>
  <c r="F48" i="2" s="1"/>
  <c r="G40" i="5"/>
  <c r="E48" i="2"/>
  <c r="V44" i="4"/>
  <c r="D41" i="5" s="1"/>
  <c r="S44" i="4"/>
  <c r="D39" i="6"/>
  <c r="E39" i="6"/>
  <c r="C49" i="7" l="1"/>
  <c r="D49" i="7" s="1"/>
  <c r="E49" i="7" s="1"/>
  <c r="E41" i="5"/>
  <c r="G40" i="6"/>
  <c r="H40" i="6" s="1"/>
  <c r="I40" i="6" s="1"/>
  <c r="R45" i="4" s="1"/>
  <c r="C40" i="6"/>
  <c r="H49" i="2"/>
  <c r="I48" i="2"/>
  <c r="H40" i="5"/>
  <c r="J40" i="5"/>
  <c r="G48" i="2"/>
  <c r="B15" i="3" l="1"/>
  <c r="B11" i="2"/>
  <c r="B50" i="7"/>
  <c r="V45" i="4"/>
  <c r="D42" i="5" s="1"/>
  <c r="S45" i="4"/>
  <c r="D40" i="6"/>
  <c r="E40" i="6"/>
  <c r="K40" i="5"/>
  <c r="J48" i="2"/>
  <c r="F41" i="5"/>
  <c r="G41" i="5"/>
  <c r="D15" i="3" l="1"/>
  <c r="E15" i="3"/>
  <c r="H41" i="5"/>
  <c r="J41" i="5"/>
  <c r="C41" i="6"/>
  <c r="G41" i="6"/>
  <c r="H41" i="6" s="1"/>
  <c r="I41" i="6" s="1"/>
  <c r="R46" i="4" s="1"/>
  <c r="K48" i="2"/>
  <c r="E42" i="5"/>
  <c r="C50" i="7"/>
  <c r="D50" i="7" s="1"/>
  <c r="E50" i="7" s="1"/>
  <c r="B51" i="7"/>
  <c r="D41" i="6" l="1"/>
  <c r="E41" i="6"/>
  <c r="F42" i="5"/>
  <c r="G42" i="5"/>
  <c r="K41" i="5"/>
  <c r="L48" i="2"/>
  <c r="C51" i="7"/>
  <c r="D51" i="7" s="1"/>
  <c r="E51" i="7" s="1"/>
  <c r="V46" i="4"/>
  <c r="D43" i="5" s="1"/>
  <c r="S46" i="4"/>
  <c r="E43" i="5" l="1"/>
  <c r="B52" i="7"/>
  <c r="H42" i="5"/>
  <c r="J42" i="5"/>
  <c r="G42" i="6"/>
  <c r="H42" i="6" s="1"/>
  <c r="I42" i="6" s="1"/>
  <c r="R47" i="4" s="1"/>
  <c r="C42" i="6"/>
  <c r="K42" i="5" l="1"/>
  <c r="C52" i="7"/>
  <c r="D52" i="7" s="1"/>
  <c r="E52" i="7" s="1"/>
  <c r="V47" i="4"/>
  <c r="D44" i="5" s="1"/>
  <c r="S47" i="4"/>
  <c r="D42" i="6"/>
  <c r="E42" i="6"/>
  <c r="F43" i="5"/>
  <c r="G43" i="5"/>
  <c r="H43" i="5" l="1"/>
  <c r="J43" i="5"/>
  <c r="E44" i="5"/>
  <c r="B53" i="7"/>
  <c r="C43" i="6"/>
  <c r="G43" i="6"/>
  <c r="H43" i="6" s="1"/>
  <c r="I43" i="6" s="1"/>
  <c r="R48" i="4" s="1"/>
  <c r="V48" i="4" l="1"/>
  <c r="D45" i="5" s="1"/>
  <c r="S48" i="4"/>
  <c r="K43" i="5"/>
  <c r="F44" i="5"/>
  <c r="G44" i="5"/>
  <c r="D43" i="6"/>
  <c r="E43" i="6"/>
  <c r="C53" i="7"/>
  <c r="D53" i="7" s="1"/>
  <c r="E53" i="7" s="1"/>
  <c r="B54" i="7"/>
  <c r="H44" i="5" l="1"/>
  <c r="J44" i="5"/>
  <c r="B55" i="7"/>
  <c r="C54" i="7"/>
  <c r="D54" i="7" s="1"/>
  <c r="E54" i="7" s="1"/>
  <c r="G44" i="6"/>
  <c r="H44" i="6" s="1"/>
  <c r="I44" i="6" s="1"/>
  <c r="R49" i="4" s="1"/>
  <c r="C44" i="6"/>
  <c r="E45" i="5"/>
  <c r="V49" i="4" l="1"/>
  <c r="D46" i="5" s="1"/>
  <c r="E46" i="5" s="1"/>
  <c r="S49" i="4"/>
  <c r="C55" i="7"/>
  <c r="D55" i="7" s="1"/>
  <c r="E55" i="7" s="1"/>
  <c r="B56" i="7"/>
  <c r="K44" i="5"/>
  <c r="F45" i="5"/>
  <c r="G45" i="5"/>
  <c r="D44" i="6"/>
  <c r="E44" i="6" s="1"/>
  <c r="C45" i="6" l="1"/>
  <c r="G45" i="6"/>
  <c r="H45" i="6" s="1"/>
  <c r="I45" i="6" s="1"/>
  <c r="R50" i="4" s="1"/>
  <c r="C56" i="7"/>
  <c r="D56" i="7" s="1"/>
  <c r="E56" i="7" s="1"/>
  <c r="B57" i="7"/>
  <c r="H45" i="5"/>
  <c r="J45" i="5"/>
  <c r="G46" i="5"/>
  <c r="F46" i="5"/>
  <c r="K45" i="5" l="1"/>
  <c r="C57" i="7"/>
  <c r="D57" i="7" s="1"/>
  <c r="E57" i="7" s="1"/>
  <c r="H46" i="5"/>
  <c r="J46" i="5"/>
  <c r="K46" i="5" s="1"/>
  <c r="V50" i="4"/>
  <c r="D47" i="5" s="1"/>
  <c r="E47" i="5" s="1"/>
  <c r="S50" i="4"/>
  <c r="D45" i="6"/>
  <c r="E45" i="6"/>
  <c r="B58" i="7" l="1"/>
  <c r="G46" i="6"/>
  <c r="H46" i="6" s="1"/>
  <c r="I46" i="6" s="1"/>
  <c r="R51" i="4" s="1"/>
  <c r="C46" i="6"/>
  <c r="G47" i="5"/>
  <c r="F47" i="5"/>
  <c r="H47" i="5" l="1"/>
  <c r="J47" i="5"/>
  <c r="K47" i="5" s="1"/>
  <c r="D46" i="6"/>
  <c r="E46" i="6" s="1"/>
  <c r="V51" i="4"/>
  <c r="D48" i="5" s="1"/>
  <c r="E48" i="5" s="1"/>
  <c r="S51" i="4"/>
  <c r="C58" i="7"/>
  <c r="D58" i="7" s="1"/>
  <c r="E58" i="7" s="1"/>
  <c r="C47" i="6" l="1"/>
  <c r="G47" i="6"/>
  <c r="H47" i="6" s="1"/>
  <c r="I47" i="6" s="1"/>
  <c r="R52" i="4" s="1"/>
  <c r="F48" i="5"/>
  <c r="G48" i="5"/>
  <c r="B59" i="7"/>
  <c r="C59" i="7" l="1"/>
  <c r="D59" i="7" s="1"/>
  <c r="E59" i="7" s="1"/>
  <c r="H48" i="5"/>
  <c r="J48" i="5"/>
  <c r="K48" i="5" s="1"/>
  <c r="V52" i="4"/>
  <c r="D49" i="5" s="1"/>
  <c r="E49" i="5" s="1"/>
  <c r="S52" i="4"/>
  <c r="D47" i="6"/>
  <c r="E47" i="6" s="1"/>
  <c r="C48" i="6" l="1"/>
  <c r="G48" i="6"/>
  <c r="H48" i="6" s="1"/>
  <c r="I48" i="6" s="1"/>
  <c r="R53" i="4" s="1"/>
  <c r="G49" i="5"/>
  <c r="F49" i="5"/>
  <c r="B60" i="7"/>
  <c r="C60" i="7" l="1"/>
  <c r="D60" i="7" s="1"/>
  <c r="E60" i="7" s="1"/>
  <c r="H49" i="5"/>
  <c r="J49" i="5"/>
  <c r="K49" i="5" s="1"/>
  <c r="V53" i="4"/>
  <c r="D50" i="5" s="1"/>
  <c r="E50" i="5" s="1"/>
  <c r="S53" i="4"/>
  <c r="D48" i="6"/>
  <c r="E48" i="6" s="1"/>
  <c r="C49" i="6" l="1"/>
  <c r="G49" i="6"/>
  <c r="H49" i="6" s="1"/>
  <c r="I49" i="6" s="1"/>
  <c r="R54" i="4" s="1"/>
  <c r="F50" i="5"/>
  <c r="G50" i="5"/>
  <c r="B61" i="7"/>
  <c r="H50" i="5" l="1"/>
  <c r="J50" i="5"/>
  <c r="K50" i="5" s="1"/>
  <c r="V54" i="4"/>
  <c r="D51" i="5" s="1"/>
  <c r="E51" i="5" s="1"/>
  <c r="S54" i="4"/>
  <c r="C61" i="7"/>
  <c r="D61" i="7" s="1"/>
  <c r="E61" i="7" s="1"/>
  <c r="D49" i="6"/>
  <c r="E49" i="6"/>
  <c r="G51" i="5" l="1"/>
  <c r="F51" i="5"/>
  <c r="B62" i="7"/>
  <c r="C50" i="6"/>
  <c r="G50" i="6"/>
  <c r="H50" i="6" s="1"/>
  <c r="I50" i="6" s="1"/>
  <c r="R55" i="4" s="1"/>
  <c r="C62" i="7" l="1"/>
  <c r="D62" i="7" s="1"/>
  <c r="E62" i="7" s="1"/>
  <c r="B16" i="3" s="1"/>
  <c r="F41" i="2"/>
  <c r="G41" i="2" s="1"/>
  <c r="G42" i="2" s="1"/>
  <c r="V55" i="4"/>
  <c r="D52" i="5" s="1"/>
  <c r="S55" i="4"/>
  <c r="D50" i="6"/>
  <c r="E50" i="6" s="1"/>
  <c r="H51" i="5"/>
  <c r="J51" i="5"/>
  <c r="K51" i="5" s="1"/>
  <c r="G51" i="6" l="1"/>
  <c r="H51" i="6" s="1"/>
  <c r="I51" i="6" s="1"/>
  <c r="R56" i="4" s="1"/>
  <c r="F6" i="2"/>
  <c r="C51" i="6"/>
  <c r="D16" i="3"/>
  <c r="E16" i="3"/>
  <c r="E52" i="5"/>
  <c r="D49" i="2"/>
  <c r="B63" i="7"/>
  <c r="D51" i="6" l="1"/>
  <c r="E51" i="6" s="1"/>
  <c r="G52" i="5"/>
  <c r="F52" i="5"/>
  <c r="F49" i="2" s="1"/>
  <c r="E49" i="2"/>
  <c r="B64" i="7"/>
  <c r="C63" i="7"/>
  <c r="D63" i="7" s="1"/>
  <c r="E63" i="7" s="1"/>
  <c r="V56" i="4"/>
  <c r="D53" i="5" s="1"/>
  <c r="S56" i="4"/>
  <c r="C52" i="6" l="1"/>
  <c r="G52" i="6"/>
  <c r="H52" i="6" s="1"/>
  <c r="I52" i="6" s="1"/>
  <c r="R57" i="4" s="1"/>
  <c r="H52" i="5"/>
  <c r="J52" i="5"/>
  <c r="G49" i="2"/>
  <c r="H50" i="2" s="1"/>
  <c r="I49" i="2"/>
  <c r="E53" i="5"/>
  <c r="C64" i="7"/>
  <c r="D64" i="7" s="1"/>
  <c r="E64" i="7" s="1"/>
  <c r="B65" i="7"/>
  <c r="K52" i="5" l="1"/>
  <c r="J49" i="2"/>
  <c r="F53" i="5"/>
  <c r="G53" i="5"/>
  <c r="C65" i="7"/>
  <c r="D65" i="7" s="1"/>
  <c r="E65" i="7" s="1"/>
  <c r="V57" i="4"/>
  <c r="D54" i="5" s="1"/>
  <c r="S57" i="4"/>
  <c r="D52" i="6"/>
  <c r="E52" i="6" s="1"/>
  <c r="C53" i="6" l="1"/>
  <c r="G53" i="6"/>
  <c r="H53" i="6" s="1"/>
  <c r="I53" i="6" s="1"/>
  <c r="R58" i="4" s="1"/>
  <c r="K49" i="2"/>
  <c r="J51" i="2"/>
  <c r="H53" i="5"/>
  <c r="J53" i="5"/>
  <c r="K53" i="5" s="1"/>
  <c r="E54" i="5"/>
  <c r="B66" i="7"/>
  <c r="F54" i="5" l="1"/>
  <c r="G54" i="5"/>
  <c r="V58" i="4"/>
  <c r="D55" i="5" s="1"/>
  <c r="S58" i="4"/>
  <c r="B67" i="7"/>
  <c r="C66" i="7"/>
  <c r="D66" i="7" s="1"/>
  <c r="E66" i="7" s="1"/>
  <c r="L49" i="2"/>
  <c r="D53" i="6"/>
  <c r="E53" i="6"/>
  <c r="C67" i="7" l="1"/>
  <c r="D67" i="7" s="1"/>
  <c r="E67" i="7" s="1"/>
  <c r="E55" i="5"/>
  <c r="H54" i="5"/>
  <c r="J54" i="5"/>
  <c r="K54" i="5" s="1"/>
  <c r="C54" i="6"/>
  <c r="G54" i="6"/>
  <c r="H54" i="6" s="1"/>
  <c r="I54" i="6" s="1"/>
  <c r="R59" i="4" s="1"/>
  <c r="F55" i="5" l="1"/>
  <c r="G55" i="5"/>
  <c r="V59" i="4"/>
  <c r="D56" i="5" s="1"/>
  <c r="S59" i="4"/>
  <c r="D54" i="6"/>
  <c r="E54" i="6" s="1"/>
  <c r="B68" i="7"/>
  <c r="G55" i="6" l="1"/>
  <c r="H55" i="6" s="1"/>
  <c r="I55" i="6" s="1"/>
  <c r="R60" i="4" s="1"/>
  <c r="C55" i="6"/>
  <c r="E56" i="5"/>
  <c r="C68" i="7"/>
  <c r="D68" i="7" s="1"/>
  <c r="E68" i="7" s="1"/>
  <c r="B69" i="7"/>
  <c r="H55" i="5"/>
  <c r="J55" i="5"/>
  <c r="K55" i="5" s="1"/>
  <c r="C69" i="7" l="1"/>
  <c r="D69" i="7" s="1"/>
  <c r="E69" i="7" s="1"/>
  <c r="F56" i="5"/>
  <c r="G56" i="5"/>
  <c r="D55" i="6"/>
  <c r="E55" i="6" s="1"/>
  <c r="V60" i="4"/>
  <c r="D57" i="5" s="1"/>
  <c r="S60" i="4"/>
  <c r="C56" i="6" l="1"/>
  <c r="G56" i="6"/>
  <c r="H56" i="6" s="1"/>
  <c r="I56" i="6" s="1"/>
  <c r="R61" i="4" s="1"/>
  <c r="H56" i="5"/>
  <c r="J56" i="5"/>
  <c r="K56" i="5" s="1"/>
  <c r="E57" i="5"/>
  <c r="B70" i="7"/>
  <c r="G57" i="5" l="1"/>
  <c r="F57" i="5"/>
  <c r="C70" i="7"/>
  <c r="D70" i="7" s="1"/>
  <c r="E70" i="7" s="1"/>
  <c r="V61" i="4"/>
  <c r="D58" i="5" s="1"/>
  <c r="E58" i="5" s="1"/>
  <c r="S61" i="4"/>
  <c r="D56" i="6"/>
  <c r="E56" i="6" s="1"/>
  <c r="C57" i="6" l="1"/>
  <c r="G57" i="6"/>
  <c r="H57" i="6" s="1"/>
  <c r="I57" i="6" s="1"/>
  <c r="R62" i="4" s="1"/>
  <c r="G58" i="5"/>
  <c r="F58" i="5"/>
  <c r="B71" i="7"/>
  <c r="H57" i="5"/>
  <c r="J57" i="5"/>
  <c r="K57" i="5" s="1"/>
  <c r="C71" i="7" l="1"/>
  <c r="D71" i="7" s="1"/>
  <c r="E71" i="7" s="1"/>
  <c r="B72" i="7"/>
  <c r="H58" i="5"/>
  <c r="J58" i="5"/>
  <c r="K58" i="5" s="1"/>
  <c r="V62" i="4"/>
  <c r="D59" i="5" s="1"/>
  <c r="E59" i="5" s="1"/>
  <c r="S62" i="4"/>
  <c r="D57" i="6"/>
  <c r="E57" i="6"/>
  <c r="F59" i="5" l="1"/>
  <c r="G59" i="5"/>
  <c r="C58" i="6"/>
  <c r="G58" i="6"/>
  <c r="H58" i="6" s="1"/>
  <c r="I58" i="6" s="1"/>
  <c r="R63" i="4" s="1"/>
  <c r="C72" i="7"/>
  <c r="D72" i="7" s="1"/>
  <c r="E72" i="7" s="1"/>
  <c r="V63" i="4" l="1"/>
  <c r="D60" i="5" s="1"/>
  <c r="E60" i="5" s="1"/>
  <c r="S63" i="4"/>
  <c r="B73" i="7"/>
  <c r="D58" i="6"/>
  <c r="E58" i="6" s="1"/>
  <c r="H59" i="5"/>
  <c r="J59" i="5"/>
  <c r="K59" i="5" s="1"/>
  <c r="G59" i="6" l="1"/>
  <c r="H59" i="6" s="1"/>
  <c r="I59" i="6" s="1"/>
  <c r="R64" i="4" s="1"/>
  <c r="C59" i="6"/>
  <c r="C73" i="7"/>
  <c r="D73" i="7" s="1"/>
  <c r="E73" i="7" s="1"/>
  <c r="F60" i="5"/>
  <c r="G60" i="5"/>
  <c r="B74" i="7" l="1"/>
  <c r="D59" i="6"/>
  <c r="E59" i="6"/>
  <c r="H60" i="5"/>
  <c r="J60" i="5"/>
  <c r="K60" i="5" s="1"/>
  <c r="V64" i="4"/>
  <c r="D61" i="5" s="1"/>
  <c r="E61" i="5" s="1"/>
  <c r="S64" i="4"/>
  <c r="F61" i="5" l="1"/>
  <c r="G61" i="5"/>
  <c r="C60" i="6"/>
  <c r="G60" i="6"/>
  <c r="H60" i="6" s="1"/>
  <c r="I60" i="6" s="1"/>
  <c r="R65" i="4" s="1"/>
  <c r="C74" i="7"/>
  <c r="D74" i="7" s="1"/>
  <c r="E74" i="7" s="1"/>
  <c r="B17" i="3" s="1"/>
  <c r="D17" i="3" l="1"/>
  <c r="E17" i="3"/>
  <c r="B75" i="7"/>
  <c r="D60" i="6"/>
  <c r="E60" i="6" s="1"/>
  <c r="H61" i="5"/>
  <c r="J61" i="5"/>
  <c r="K61" i="5" s="1"/>
  <c r="V65" i="4"/>
  <c r="D62" i="5" s="1"/>
  <c r="E62" i="5" s="1"/>
  <c r="S65" i="4"/>
  <c r="C61" i="6" l="1"/>
  <c r="G61" i="6"/>
  <c r="H61" i="6" s="1"/>
  <c r="I61" i="6" s="1"/>
  <c r="R66" i="4" s="1"/>
  <c r="C75" i="7"/>
  <c r="D75" i="7" s="1"/>
  <c r="E75" i="7" s="1"/>
  <c r="F62" i="5"/>
  <c r="G62" i="5"/>
  <c r="B76" i="7" l="1"/>
  <c r="H62" i="5"/>
  <c r="J62" i="5"/>
  <c r="K62" i="5" s="1"/>
  <c r="V66" i="4"/>
  <c r="D63" i="5" s="1"/>
  <c r="E63" i="5" s="1"/>
  <c r="S66" i="4"/>
  <c r="D61" i="6"/>
  <c r="E61" i="6" s="1"/>
  <c r="C62" i="6" l="1"/>
  <c r="G62" i="6"/>
  <c r="H62" i="6" s="1"/>
  <c r="I62" i="6" s="1"/>
  <c r="R67" i="4" s="1"/>
  <c r="G63" i="5"/>
  <c r="F63" i="5"/>
  <c r="C76" i="7"/>
  <c r="D76" i="7" s="1"/>
  <c r="E76" i="7" s="1"/>
  <c r="V67" i="4" l="1"/>
  <c r="D64" i="5" s="1"/>
  <c r="F42" i="2"/>
  <c r="R68" i="4"/>
  <c r="S67" i="4"/>
  <c r="B77" i="7"/>
  <c r="H63" i="5"/>
  <c r="J63" i="5"/>
  <c r="K63" i="5" s="1"/>
  <c r="D62" i="6"/>
  <c r="E62" i="6"/>
  <c r="F7" i="2" s="1"/>
  <c r="C77" i="7" l="1"/>
  <c r="D77" i="7" s="1"/>
  <c r="E77" i="7" s="1"/>
  <c r="B78" i="7"/>
  <c r="D65" i="5"/>
  <c r="D51" i="2" s="1"/>
  <c r="D43" i="2" s="1"/>
  <c r="E64" i="5"/>
  <c r="D50" i="2"/>
  <c r="G64" i="5" l="1"/>
  <c r="F64" i="5"/>
  <c r="F50" i="2" s="1"/>
  <c r="F51" i="2" s="1"/>
  <c r="E50" i="2"/>
  <c r="C78" i="7"/>
  <c r="D78" i="7" s="1"/>
  <c r="E78" i="7" s="1"/>
  <c r="B79" i="7" l="1"/>
  <c r="E51" i="2"/>
  <c r="H64" i="5"/>
  <c r="J64" i="5"/>
  <c r="K64" i="5" s="1"/>
  <c r="G50" i="2"/>
  <c r="G51" i="2" l="1"/>
  <c r="H51" i="2"/>
  <c r="I51" i="2"/>
  <c r="B43" i="2" s="1"/>
  <c r="I50" i="2"/>
  <c r="K50" i="2" s="1"/>
  <c r="B80" i="7"/>
  <c r="C79" i="7"/>
  <c r="D79" i="7" s="1"/>
  <c r="E79" i="7" s="1"/>
  <c r="C80" i="7" l="1"/>
  <c r="D80" i="7" s="1"/>
  <c r="E80" i="7" s="1"/>
  <c r="B81" i="7"/>
  <c r="L50" i="2"/>
  <c r="K51" i="2"/>
  <c r="L51" i="2" s="1"/>
  <c r="C81" i="7" l="1"/>
  <c r="D81" i="7" s="1"/>
  <c r="E81" i="7" s="1"/>
  <c r="B82" i="7"/>
  <c r="B83" i="7" l="1"/>
  <c r="C82" i="7"/>
  <c r="D82" i="7" s="1"/>
  <c r="E82" i="7" s="1"/>
  <c r="C83" i="7" l="1"/>
  <c r="D83" i="7" s="1"/>
  <c r="E83" i="7" s="1"/>
  <c r="B84" i="7" l="1"/>
  <c r="C84" i="7" l="1"/>
  <c r="D84" i="7" s="1"/>
  <c r="E84" i="7" s="1"/>
  <c r="B85" i="7" l="1"/>
  <c r="C85" i="7" l="1"/>
  <c r="D85" i="7" s="1"/>
  <c r="E85" i="7" s="1"/>
  <c r="B86" i="7" l="1"/>
  <c r="C86" i="7" l="1"/>
  <c r="D86" i="7" s="1"/>
  <c r="E86" i="7" s="1"/>
  <c r="B18" i="3" s="1"/>
  <c r="D18" i="3" l="1"/>
  <c r="E18" i="3"/>
  <c r="C25" i="3"/>
  <c r="B87" i="7"/>
  <c r="C87" i="7" l="1"/>
  <c r="D87" i="7" s="1"/>
  <c r="E87" i="7" s="1"/>
  <c r="B88" i="7" l="1"/>
  <c r="C88" i="7" l="1"/>
  <c r="D88" i="7" s="1"/>
  <c r="E88" i="7" s="1"/>
  <c r="B89" i="7" l="1"/>
  <c r="C89" i="7" l="1"/>
  <c r="D89" i="7" s="1"/>
  <c r="E89" i="7" s="1"/>
  <c r="B90" i="7" l="1"/>
  <c r="C90" i="7" l="1"/>
  <c r="D90" i="7" s="1"/>
  <c r="E90" i="7" s="1"/>
  <c r="B91" i="7" l="1"/>
  <c r="C91" i="7" l="1"/>
  <c r="D91" i="7" s="1"/>
  <c r="E91" i="7" s="1"/>
  <c r="B92" i="7" l="1"/>
  <c r="C92" i="7" l="1"/>
  <c r="D92" i="7" s="1"/>
  <c r="E92" i="7" s="1"/>
  <c r="B93" i="7"/>
  <c r="C93" i="7" l="1"/>
  <c r="D93" i="7" s="1"/>
  <c r="E93" i="7" s="1"/>
  <c r="B94" i="7"/>
  <c r="C94" i="7" l="1"/>
  <c r="D94" i="7" s="1"/>
  <c r="E94" i="7" s="1"/>
  <c r="B95" i="7" l="1"/>
  <c r="C95" i="7" l="1"/>
  <c r="D95" i="7" s="1"/>
  <c r="E95" i="7" s="1"/>
  <c r="B96" i="7"/>
  <c r="C96" i="7" l="1"/>
  <c r="D96" i="7" s="1"/>
  <c r="E96" i="7" s="1"/>
  <c r="B97" i="7" l="1"/>
  <c r="C97" i="7" l="1"/>
  <c r="D97" i="7" s="1"/>
  <c r="E97" i="7" s="1"/>
  <c r="B98" i="7" l="1"/>
  <c r="B99" i="7" l="1"/>
  <c r="C98" i="7"/>
  <c r="D98" i="7" s="1"/>
  <c r="E98" i="7" s="1"/>
  <c r="B19" i="3" s="1"/>
  <c r="C99" i="7" l="1"/>
  <c r="D99" i="7" s="1"/>
  <c r="E99" i="7" s="1"/>
  <c r="D19" i="3"/>
  <c r="E19" i="3"/>
  <c r="B100" i="7" l="1"/>
  <c r="C100" i="7" l="1"/>
  <c r="D100" i="7" s="1"/>
  <c r="E100" i="7" s="1"/>
  <c r="B101" i="7" l="1"/>
  <c r="C101" i="7" l="1"/>
  <c r="D101" i="7" s="1"/>
  <c r="E101" i="7" s="1"/>
  <c r="B102" i="7"/>
  <c r="B103" i="7" l="1"/>
  <c r="C102" i="7"/>
  <c r="D102" i="7" s="1"/>
  <c r="E102" i="7" s="1"/>
  <c r="C103" i="7" l="1"/>
  <c r="D103" i="7" s="1"/>
  <c r="E103" i="7" s="1"/>
  <c r="B104" i="7" l="1"/>
  <c r="C104" i="7" l="1"/>
  <c r="D104" i="7" s="1"/>
  <c r="E104" i="7" s="1"/>
  <c r="B105" i="7" l="1"/>
  <c r="C105" i="7" l="1"/>
  <c r="D105" i="7" s="1"/>
  <c r="E105" i="7" s="1"/>
  <c r="B106" i="7"/>
  <c r="C106" i="7" l="1"/>
  <c r="D106" i="7" s="1"/>
  <c r="E106" i="7" s="1"/>
  <c r="B107" i="7" l="1"/>
  <c r="C107" i="7" l="1"/>
  <c r="D107" i="7" s="1"/>
  <c r="E107" i="7" s="1"/>
  <c r="B108" i="7"/>
  <c r="B109" i="7" l="1"/>
  <c r="C108" i="7"/>
  <c r="D108" i="7" s="1"/>
  <c r="E108" i="7" s="1"/>
  <c r="C109" i="7" l="1"/>
  <c r="D109" i="7" s="1"/>
  <c r="E109" i="7" s="1"/>
  <c r="B110" i="7" l="1"/>
  <c r="C110" i="7" l="1"/>
  <c r="D110" i="7" s="1"/>
  <c r="E110" i="7" s="1"/>
  <c r="B20" i="3" s="1"/>
  <c r="D20" i="3" l="1"/>
  <c r="E20" i="3"/>
  <c r="B111" i="7"/>
  <c r="C111" i="7" l="1"/>
  <c r="D111" i="7" s="1"/>
  <c r="E111" i="7" s="1"/>
  <c r="B112" i="7"/>
  <c r="C112" i="7" l="1"/>
  <c r="D112" i="7" s="1"/>
  <c r="E112" i="7" s="1"/>
  <c r="B113" i="7"/>
  <c r="C113" i="7" l="1"/>
  <c r="D113" i="7" s="1"/>
  <c r="E113" i="7" s="1"/>
  <c r="B114" i="7"/>
  <c r="C114" i="7" l="1"/>
  <c r="D114" i="7" s="1"/>
  <c r="E114" i="7" s="1"/>
  <c r="B115" i="7" l="1"/>
  <c r="C115" i="7" l="1"/>
  <c r="D115" i="7" s="1"/>
  <c r="E115" i="7" s="1"/>
  <c r="B116" i="7" l="1"/>
  <c r="C116" i="7" l="1"/>
  <c r="D116" i="7" s="1"/>
  <c r="E116" i="7" s="1"/>
  <c r="B117" i="7" l="1"/>
  <c r="C117" i="7" l="1"/>
  <c r="D117" i="7" s="1"/>
  <c r="E117" i="7" s="1"/>
  <c r="B118" i="7"/>
  <c r="C118" i="7" l="1"/>
  <c r="D118" i="7" s="1"/>
  <c r="E118" i="7" s="1"/>
  <c r="B119" i="7"/>
  <c r="C119" i="7" l="1"/>
  <c r="D119" i="7" s="1"/>
  <c r="E119" i="7" s="1"/>
  <c r="B120" i="7"/>
  <c r="C120" i="7" l="1"/>
  <c r="D120" i="7" s="1"/>
  <c r="E120" i="7" s="1"/>
  <c r="B121" i="7" l="1"/>
  <c r="C121" i="7" l="1"/>
  <c r="D121" i="7" s="1"/>
  <c r="E121" i="7" s="1"/>
  <c r="B122" i="7" l="1"/>
  <c r="C122" i="7" l="1"/>
  <c r="D122" i="7" s="1"/>
  <c r="E122" i="7" s="1"/>
  <c r="B21" i="3" s="1"/>
  <c r="D21" i="3" l="1"/>
  <c r="E21" i="3"/>
  <c r="B123" i="7"/>
  <c r="C123" i="7" l="1"/>
  <c r="D123" i="7" s="1"/>
  <c r="E123" i="7" s="1"/>
  <c r="B124" i="7"/>
  <c r="C124" i="7" l="1"/>
  <c r="D124" i="7" s="1"/>
  <c r="E124" i="7" s="1"/>
  <c r="B125" i="7"/>
  <c r="C125" i="7" l="1"/>
  <c r="D125" i="7" s="1"/>
  <c r="E125" i="7" s="1"/>
  <c r="B126" i="7"/>
  <c r="C126" i="7" l="1"/>
  <c r="D126" i="7" s="1"/>
  <c r="E126" i="7" s="1"/>
  <c r="B127" i="7" l="1"/>
  <c r="C127" i="7" l="1"/>
  <c r="D127" i="7" s="1"/>
  <c r="E127" i="7" s="1"/>
  <c r="B128" i="7" l="1"/>
  <c r="C128" i="7" l="1"/>
  <c r="D128" i="7" s="1"/>
  <c r="E128" i="7" s="1"/>
  <c r="B129" i="7" l="1"/>
  <c r="C129" i="7" l="1"/>
  <c r="D129" i="7" s="1"/>
  <c r="E129" i="7" s="1"/>
  <c r="B130" i="7"/>
  <c r="C130" i="7" l="1"/>
  <c r="D130" i="7" s="1"/>
  <c r="E130" i="7" s="1"/>
  <c r="B131" i="7" l="1"/>
  <c r="C131" i="7" l="1"/>
  <c r="D131" i="7" s="1"/>
  <c r="E131" i="7" s="1"/>
  <c r="B132" i="7"/>
  <c r="B133" i="7" l="1"/>
  <c r="C132" i="7"/>
  <c r="D132" i="7" s="1"/>
  <c r="E132" i="7" s="1"/>
  <c r="C133" i="7" l="1"/>
  <c r="D133" i="7" s="1"/>
  <c r="E133" i="7" s="1"/>
  <c r="B134" i="7" l="1"/>
  <c r="B135" i="7" l="1"/>
  <c r="C134" i="7"/>
  <c r="D134" i="7" s="1"/>
  <c r="E134" i="7" s="1"/>
  <c r="B22" i="3" s="1"/>
  <c r="C135" i="7" l="1"/>
  <c r="D135" i="7" s="1"/>
  <c r="E135" i="7" s="1"/>
  <c r="B136" i="7"/>
  <c r="D22" i="3"/>
  <c r="E22" i="3"/>
  <c r="C136" i="7" l="1"/>
  <c r="D136" i="7" s="1"/>
  <c r="E136" i="7" s="1"/>
  <c r="B137" i="7"/>
  <c r="C137" i="7" l="1"/>
  <c r="D137" i="7" s="1"/>
  <c r="E137" i="7" s="1"/>
  <c r="B138" i="7"/>
  <c r="C138" i="7" l="1"/>
  <c r="D138" i="7" s="1"/>
  <c r="E138" i="7" s="1"/>
  <c r="B139" i="7" l="1"/>
  <c r="C139" i="7" l="1"/>
  <c r="D139" i="7" s="1"/>
  <c r="E139" i="7" s="1"/>
  <c r="B140" i="7" l="1"/>
  <c r="C140" i="7" l="1"/>
  <c r="D140" i="7" s="1"/>
  <c r="E140" i="7" s="1"/>
  <c r="B141" i="7" l="1"/>
  <c r="C141" i="7" l="1"/>
  <c r="D141" i="7" s="1"/>
  <c r="E141" i="7" s="1"/>
  <c r="B142" i="7"/>
  <c r="C142" i="7" l="1"/>
  <c r="D142" i="7" s="1"/>
  <c r="E142" i="7" s="1"/>
  <c r="B143" i="7"/>
  <c r="C143" i="7" l="1"/>
  <c r="D143" i="7" s="1"/>
  <c r="E143" i="7" s="1"/>
  <c r="B144" i="7"/>
  <c r="C144" i="7" l="1"/>
  <c r="D144" i="7" s="1"/>
  <c r="E144" i="7" s="1"/>
  <c r="B145" i="7" l="1"/>
  <c r="C145" i="7" l="1"/>
  <c r="D145" i="7" s="1"/>
  <c r="E145" i="7" s="1"/>
  <c r="B146" i="7" l="1"/>
  <c r="C146" i="7" l="1"/>
  <c r="D146" i="7" s="1"/>
  <c r="E146" i="7" s="1"/>
  <c r="B23" i="3" s="1"/>
  <c r="D23" i="3" l="1"/>
  <c r="E23" i="3"/>
  <c r="B147" i="7"/>
  <c r="C147" i="7" l="1"/>
  <c r="D147" i="7" s="1"/>
  <c r="E147" i="7" s="1"/>
  <c r="B148" i="7" l="1"/>
  <c r="C148" i="7" l="1"/>
  <c r="D148" i="7" s="1"/>
  <c r="E148" i="7" s="1"/>
  <c r="B149" i="7"/>
  <c r="C149" i="7" l="1"/>
  <c r="D149" i="7" s="1"/>
  <c r="E149" i="7" s="1"/>
  <c r="B150" i="7" l="1"/>
  <c r="C150" i="7" l="1"/>
  <c r="D150" i="7" s="1"/>
  <c r="E150" i="7" s="1"/>
  <c r="B151" i="7"/>
  <c r="C151" i="7" l="1"/>
  <c r="D151" i="7" s="1"/>
  <c r="E151" i="7" s="1"/>
  <c r="B152" i="7"/>
  <c r="C152" i="7" l="1"/>
  <c r="D152" i="7" s="1"/>
  <c r="E152" i="7" s="1"/>
  <c r="B153" i="7" l="1"/>
  <c r="C153" i="7" l="1"/>
  <c r="D153" i="7" s="1"/>
  <c r="E153" i="7" s="1"/>
  <c r="B154" i="7" l="1"/>
  <c r="C154" i="7" l="1"/>
  <c r="D154" i="7" s="1"/>
  <c r="E154" i="7" s="1"/>
  <c r="B155" i="7"/>
  <c r="C155" i="7" l="1"/>
  <c r="D155" i="7" s="1"/>
  <c r="E155" i="7" s="1"/>
  <c r="B156" i="7" l="1"/>
  <c r="C156" i="7" l="1"/>
  <c r="D156" i="7" s="1"/>
  <c r="E156" i="7" s="1"/>
  <c r="B157" i="7" l="1"/>
  <c r="C157" i="7" l="1"/>
  <c r="D157" i="7" s="1"/>
  <c r="E157" i="7" s="1"/>
  <c r="B158" i="7"/>
  <c r="C158" i="7" l="1"/>
  <c r="D158" i="7" s="1"/>
  <c r="E158" i="7" s="1"/>
  <c r="B24" i="3" s="1"/>
  <c r="D24" i="3" l="1"/>
  <c r="E24" i="3"/>
  <c r="B159" i="7"/>
  <c r="C159" i="7" l="1"/>
  <c r="D159" i="7" s="1"/>
  <c r="E159" i="7" s="1"/>
  <c r="B160" i="7" l="1"/>
  <c r="C160" i="7" l="1"/>
  <c r="D160" i="7" s="1"/>
  <c r="E160" i="7" s="1"/>
  <c r="B161" i="7"/>
  <c r="C161" i="7" l="1"/>
  <c r="D161" i="7" s="1"/>
  <c r="E161" i="7" s="1"/>
  <c r="B162" i="7"/>
  <c r="C162" i="7" l="1"/>
  <c r="D162" i="7" s="1"/>
  <c r="E162" i="7" s="1"/>
  <c r="B163" i="7" l="1"/>
  <c r="C163" i="7" l="1"/>
  <c r="D163" i="7" s="1"/>
  <c r="E163" i="7" s="1"/>
  <c r="B164" i="7" l="1"/>
  <c r="C164" i="7" l="1"/>
  <c r="D164" i="7" s="1"/>
  <c r="E164" i="7" s="1"/>
  <c r="B165" i="7" l="1"/>
  <c r="C165" i="7" l="1"/>
  <c r="D165" i="7" s="1"/>
  <c r="E165" i="7" s="1"/>
  <c r="B166" i="7"/>
  <c r="C166" i="7" l="1"/>
  <c r="D166" i="7" s="1"/>
  <c r="E166" i="7" s="1"/>
  <c r="B167" i="7"/>
  <c r="C167" i="7" l="1"/>
  <c r="D167" i="7" s="1"/>
  <c r="E167" i="7" s="1"/>
  <c r="B168" i="7" l="1"/>
  <c r="C168" i="7" l="1"/>
  <c r="D168" i="7" s="1"/>
  <c r="E168" i="7" s="1"/>
  <c r="B169" i="7" l="1"/>
  <c r="C169" i="7" l="1"/>
  <c r="D169" i="7" s="1"/>
  <c r="E169" i="7" s="1"/>
  <c r="B170" i="7" l="1"/>
  <c r="C170" i="7" l="1"/>
  <c r="D170" i="7" s="1"/>
  <c r="E170" i="7" s="1"/>
  <c r="B25" i="3" s="1"/>
  <c r="D25" i="3" l="1"/>
  <c r="D26" i="3" s="1"/>
  <c r="E25" i="3"/>
  <c r="E26" i="3" s="1"/>
  <c r="E27" i="3" s="1"/>
  <c r="B171" i="7"/>
  <c r="C171" i="7" l="1"/>
  <c r="D171" i="7" s="1"/>
  <c r="E171" i="7" s="1"/>
  <c r="B172" i="7"/>
  <c r="C30" i="3"/>
  <c r="D30" i="3" s="1"/>
  <c r="D32" i="3" s="1"/>
  <c r="D33" i="3" s="1"/>
  <c r="C16" i="2" s="1"/>
  <c r="B16" i="2"/>
  <c r="C172" i="7" l="1"/>
  <c r="D172" i="7" s="1"/>
  <c r="E172" i="7" s="1"/>
  <c r="B173" i="7"/>
  <c r="C173" i="7" l="1"/>
  <c r="D173" i="7" s="1"/>
  <c r="E173" i="7" s="1"/>
  <c r="B174" i="7" l="1"/>
  <c r="C174" i="7" l="1"/>
  <c r="D174" i="7" s="1"/>
  <c r="E174" i="7" s="1"/>
  <c r="B175" i="7" l="1"/>
  <c r="C175" i="7" l="1"/>
  <c r="D175" i="7" s="1"/>
  <c r="E175" i="7" s="1"/>
  <c r="B176" i="7" l="1"/>
  <c r="C176" i="7" l="1"/>
  <c r="D176" i="7" s="1"/>
  <c r="E176" i="7" s="1"/>
  <c r="B177" i="7" l="1"/>
  <c r="C177" i="7" l="1"/>
  <c r="D177" i="7" s="1"/>
  <c r="E177" i="7" s="1"/>
  <c r="B178" i="7"/>
  <c r="C178" i="7" l="1"/>
  <c r="D178" i="7" s="1"/>
  <c r="E178" i="7" s="1"/>
  <c r="B179" i="7"/>
  <c r="C179" i="7" l="1"/>
  <c r="D179" i="7" s="1"/>
  <c r="E179" i="7" s="1"/>
  <c r="B180" i="7" l="1"/>
  <c r="C180" i="7" s="1"/>
  <c r="D180" i="7" s="1"/>
  <c r="E180" i="7" s="1"/>
</calcChain>
</file>

<file path=xl/comments1.xml><?xml version="1.0" encoding="utf-8"?>
<comments xmlns="http://schemas.openxmlformats.org/spreadsheetml/2006/main">
  <authors>
    <author>A satisfied Microsoft Office user</author>
  </authors>
  <commentList>
    <comment ref="A23" authorId="0" shapeId="0">
      <text>
        <r>
          <rPr>
            <sz val="10"/>
            <color indexed="81"/>
            <rFont val="Tahoma"/>
          </rPr>
          <t xml:space="preserve">Items in this column show the number of hours that an adjuster in this category will work in a give week.  Using a working hour work week assumes that the adjuster will use 100% of their time in productive work.  If 100% productivity is use and the goal is not met than one could predict that overtime pay will be necessary or that the tasks will not be done in a timely manner.  One effect will be to increase payroll cost the other could effect closure rates, loss ratio results, and customer complaints.  If for example 32 hours is used in the model this assumes that the adjuster will work at 80% efficiency and allows time for other activities such as training, bath room breaks etc.  In addition if the Phase Worksheet has not accurately reflected the time necessary to complete the task then addition time will fall first with the normal pay period and minimize the effects on overtime pay.
</t>
        </r>
      </text>
    </comment>
    <comment ref="A24" authorId="0" shapeId="0">
      <text>
        <r>
          <rPr>
            <sz val="10"/>
            <color indexed="81"/>
            <rFont val="Tahoma"/>
          </rPr>
          <t>Gery W. Kern:
Items in this column indicate the time frame allowed by management to accomplish the task showed on the appropriate phase work sheet.  As the time to complete the task is expanded the case load that the adjuster can handle increases.   When increasing the task time in order to achieve a higher case load one must consider the effect that this may have on closure rate.  Higher case load should result in a slower closure rate - the converse is true.  The objective of management should be to identify the case load that will maximize closure at the lowest possible expense.</t>
        </r>
      </text>
    </comment>
    <comment ref="B26" authorId="0" shapeId="0">
      <text>
        <r>
          <rPr>
            <sz val="10"/>
            <color indexed="81"/>
            <rFont val="Tahoma"/>
          </rPr>
          <t>This number is used in the staffing worksheet to calculate the number of clerical support staff per adjuster.</t>
        </r>
      </text>
    </comment>
    <comment ref="B27" authorId="0" shapeId="0">
      <text>
        <r>
          <rPr>
            <sz val="10"/>
            <color indexed="81"/>
            <rFont val="Tahoma"/>
          </rPr>
          <t xml:space="preserve">This value is used in the staffing worksheet.  After the worksheet calculates the number of adjusters needed for a projected case load this factor is used to determine the staffing pattern.  A value &lt; 1 indicates a decision to allow staffing to grow at a slower rate than the staffing pattern suggest.  A value &gt; than 1 indicates a decision to staff faster than model would suggest.  </t>
        </r>
      </text>
    </comment>
  </commentList>
</comments>
</file>

<file path=xl/comments2.xml><?xml version="1.0" encoding="utf-8"?>
<comments xmlns="http://schemas.openxmlformats.org/spreadsheetml/2006/main">
  <authors>
    <author>A satisfied Microsoft Office user</author>
  </authors>
  <commentList>
    <comment ref="A1" authorId="0" shapeId="0">
      <text>
        <r>
          <rPr>
            <sz val="10"/>
            <color indexed="81"/>
            <rFont val="Tahoma"/>
          </rPr>
          <t>This work sheet allows one to change a variable and determine how that change will effect other factors.  Hightlighted cells can be changed.  The results are calculated on the various worklsheet and the results are displayed on this sheet in un-hghlighted cells.</t>
        </r>
      </text>
    </comment>
    <comment ref="B9" authorId="0" shapeId="0">
      <text>
        <r>
          <rPr>
            <sz val="10"/>
            <color indexed="81"/>
            <rFont val="Tahoma"/>
          </rPr>
          <t xml:space="preserve">The higher the closure rate the lower the average adjuster pending case load.  The norm for the industry in a given jurisdiction should be determined.  A projected closure rate should be developed.  This will allow one to determine the cost variance and allows us to establish and measure the effect of claims management changes on cost.  </t>
        </r>
      </text>
    </comment>
    <comment ref="K9" authorId="0" shapeId="0">
      <text>
        <r>
          <rPr>
            <sz val="10"/>
            <color indexed="81"/>
            <rFont val="Tahoma"/>
          </rPr>
          <t xml:space="preserve">This is a generated number - calculated by taking the a current or estimated reserve figure and adjusting that reserve up or down by the Incurred Cost loss adjustment factor (B11)
</t>
        </r>
      </text>
    </comment>
    <comment ref="B16" authorId="0" shapeId="0">
      <text>
        <r>
          <rPr>
            <sz val="10"/>
            <color indexed="81"/>
            <rFont val="Tahoma"/>
          </rPr>
          <t xml:space="preserve">This is a generated number - calculated by taking the a current or estimated reserve figure and adjusting that reserve up or down by the Incurred Cost loss adjustment factor (B11)
</t>
        </r>
      </text>
    </comment>
    <comment ref="C19" authorId="0" shapeId="0">
      <text>
        <r>
          <rPr>
            <sz val="10"/>
            <color indexed="81"/>
            <rFont val="Tahoma"/>
          </rPr>
          <t xml:space="preserve">Items in this column show the number of hours that an adjuster in this category will work in a give week.  Using a working hour work week assumes that the adjuster will use 100% of their time in productive work.  If 100% productivity is use and the goal is not met than one could predict that overtime pay will be necessary or that the tasks will not be done in a timely manner.  One effect will be to increase payroll cost the other could effect closure rates, loss ratio results, and customer complaints.  If for example 32 hours is used in the model this assumes that the adjuster will work at 80% efficiency and allows time for other activities such as training, bath room breaks etc.  In addition if the Phase Worksheet has not accurately reflected the time necessary to complete the task then addition time will fall first with the normal pay period and minimize the effects on overtime pay.
</t>
        </r>
      </text>
    </comment>
    <comment ref="D19" authorId="0" shapeId="0">
      <text>
        <r>
          <rPr>
            <sz val="10"/>
            <color indexed="81"/>
            <rFont val="Tahoma"/>
          </rPr>
          <t>Items in this column indicate the time frame allowed by management to accomplish the task showed on the appropriate phase work sheet.  As the time to complete the task is expanded the case load that the adjuster can handle increases.            
When increasing the task time in order to achieve a higher case load one must consider the effect that this may have on closure rate.  Higher case load should result in a slower closure rate - the converse is true.  The objective of management should be to identify the case load that will maximize closure at the lowest possible expense.</t>
        </r>
      </text>
    </comment>
    <comment ref="B20" authorId="0" shapeId="0">
      <text>
        <r>
          <rPr>
            <sz val="10"/>
            <color indexed="81"/>
            <rFont val="Tahoma"/>
          </rPr>
          <t xml:space="preserve">This number is pulled from the phase 1 Work Sheet.  To change this number go to phase one work sheet and add or subtract task.  This number is used to calculate the number of files this adjuster can handle during a give period of time.  See cells B17 and B18 and staffing work sheet
</t>
        </r>
      </text>
    </comment>
    <comment ref="B21" authorId="0" shapeId="0">
      <text>
        <r>
          <rPr>
            <sz val="10"/>
            <color indexed="81"/>
            <rFont val="Tahoma"/>
          </rPr>
          <t xml:space="preserve">This number is calculated in the Phase 2 worksheet and is used in the staffing worksheet to calculated the number of active cases this adjuster can handle base on the time and task issues presented in the worksheet.
</t>
        </r>
      </text>
    </comment>
    <comment ref="F22" authorId="0" shapeId="0">
      <text>
        <r>
          <rPr>
            <sz val="10"/>
            <color indexed="81"/>
            <rFont val="Tahoma"/>
          </rPr>
          <t xml:space="preserve">This value will not match the Medical Only adjuster active case load.  The variance is cause by the manner that the Medical Only case load is calculated.  The adjuster is give credit of .5 hours of work in the month the case is received and is allowed 1 hour during the next two months.  The rate at which new claims are received vs pending cases will allow for a higher actual case load.  </t>
        </r>
      </text>
    </comment>
    <comment ref="B23" authorId="0" shapeId="0">
      <text>
        <r>
          <rPr>
            <sz val="10"/>
            <color indexed="81"/>
            <rFont val="Tahoma"/>
          </rPr>
          <t xml:space="preserve">This value is calculated and pulled from the Phase 3 worksheet and is used in the staffing worksheet to determine adjuster case load and number of adjusters need to perform this function.  
</t>
        </r>
      </text>
    </comment>
    <comment ref="B24" authorId="0" shapeId="0">
      <text>
        <r>
          <rPr>
            <sz val="10"/>
            <color indexed="81"/>
            <rFont val="Tahoma"/>
          </rPr>
          <t>This number is used in the staffing worksheet to calculate the number of clerical support staff per adjuster.</t>
        </r>
      </text>
    </comment>
    <comment ref="B25" authorId="0" shapeId="0">
      <text>
        <r>
          <rPr>
            <sz val="10"/>
            <color indexed="81"/>
            <rFont val="Tahoma"/>
          </rPr>
          <t xml:space="preserve">This value is used in the staffing worksheet.  After the worksheet calculates the number of adjusters needed for a projected case load this factor is used to determine the staffing pattern.  A value &lt; 1 indicates a decision to allow staffing to grow at a slower rate than the staffing pattern suggest.  A value &gt; than 1 indicates a decision to staff faster than model would suggest.  </t>
        </r>
      </text>
    </comment>
    <comment ref="J30" authorId="0" shapeId="0">
      <text>
        <r>
          <rPr>
            <sz val="10"/>
            <color indexed="81"/>
            <rFont val="Tahoma"/>
          </rPr>
          <t>This factor predicts the number of open pending claims that are not being handled by a Phase 3 adjuster.</t>
        </r>
      </text>
    </comment>
    <comment ref="J31" authorId="0" shapeId="0">
      <text>
        <r>
          <rPr>
            <sz val="10"/>
            <color indexed="81"/>
            <rFont val="Tahoma"/>
          </rPr>
          <t>This factor predicts the number of claims that are not being handled by a phase 2 adjuster.  Since Phase 3 work is more time consuming then phase two worker the higher the case load in Phase 3 the higher the unallocated loss adjustment expense will be or the poorer closure rate.</t>
        </r>
      </text>
    </comment>
    <comment ref="B36" authorId="0" shapeId="0">
      <text>
        <r>
          <rPr>
            <sz val="10"/>
            <color indexed="81"/>
            <rFont val="Tahoma"/>
          </rPr>
          <t>This value was selected using the NAWW pay scale.  For this position I used the Second Level adjuster Value.</t>
        </r>
      </text>
    </comment>
    <comment ref="C36" authorId="0" shapeId="0">
      <text>
        <r>
          <rPr>
            <sz val="10"/>
            <color indexed="81"/>
            <rFont val="Tahoma"/>
          </rPr>
          <t>This value was determined by using the average of the two lowest pay values for adjusters in the NAWW scale.</t>
        </r>
      </text>
    </comment>
    <comment ref="D36" authorId="0" shapeId="0">
      <text>
        <r>
          <rPr>
            <sz val="10"/>
            <color indexed="81"/>
            <rFont val="Tahoma"/>
          </rPr>
          <t>This value was determine by using the NAWW scale and taking the average of the three highest scales.</t>
        </r>
      </text>
    </comment>
    <comment ref="F36" authorId="0" shapeId="0">
      <text>
        <r>
          <rPr>
            <sz val="10"/>
            <color indexed="81"/>
            <rFont val="Tahoma"/>
          </rPr>
          <t>Using the NAWW scale the three lower position were averaged for this position</t>
        </r>
      </text>
    </comment>
  </commentList>
</comments>
</file>

<file path=xl/comments3.xml><?xml version="1.0" encoding="utf-8"?>
<comments xmlns="http://schemas.openxmlformats.org/spreadsheetml/2006/main">
  <authors>
    <author>A satisfied Microsoft Office user</author>
  </authors>
  <commentList>
    <comment ref="C3" authorId="0" shapeId="0">
      <text>
        <r>
          <rPr>
            <sz val="10"/>
            <color indexed="81"/>
            <rFont val="Tahoma"/>
          </rPr>
          <t xml:space="preserve">This variable is entered on the variable worksheet
</t>
        </r>
      </text>
    </comment>
    <comment ref="B8" authorId="0" shapeId="0">
      <text>
        <r>
          <rPr>
            <sz val="10"/>
            <color indexed="81"/>
            <rFont val="Tahoma"/>
          </rPr>
          <t xml:space="preserve">The estimated case value in enter on the variable worksheet
</t>
        </r>
      </text>
    </comment>
    <comment ref="B11" authorId="0" shapeId="0">
      <text>
        <r>
          <rPr>
            <sz val="10"/>
            <color indexed="81"/>
            <rFont val="Tahoma"/>
          </rPr>
          <t xml:space="preserve">Enter value on Variable Worksheet
</t>
        </r>
      </text>
    </comment>
    <comment ref="B12" authorId="0" shapeId="0">
      <text>
        <r>
          <rPr>
            <sz val="10"/>
            <color indexed="81"/>
            <rFont val="Tahoma"/>
          </rPr>
          <t xml:space="preserve">This number comes from the closure rate worksheet and is calculated based on the closure rate selected as the variable
</t>
        </r>
      </text>
    </comment>
  </commentList>
</comments>
</file>

<file path=xl/comments4.xml><?xml version="1.0" encoding="utf-8"?>
<comments xmlns="http://schemas.openxmlformats.org/spreadsheetml/2006/main">
  <authors>
    <author>A satisfied Microsoft Office user</author>
  </authors>
  <commentList>
    <comment ref="B7" authorId="0" shapeId="0">
      <text>
        <r>
          <rPr>
            <sz val="10"/>
            <color indexed="81"/>
            <rFont val="Tahoma"/>
          </rPr>
          <t>The numbers in this column are supplied by underwriting or marketing.</t>
        </r>
      </text>
    </comment>
    <comment ref="D7" authorId="0" shapeId="0">
      <text>
        <r>
          <rPr>
            <sz val="10"/>
            <color indexed="81"/>
            <rFont val="Tahoma"/>
          </rPr>
          <t>Numbers in this column are calculated by taking the accident rate per million dollars of premium and multiplying it times premium show under Premium.</t>
        </r>
      </text>
    </comment>
    <comment ref="E7" authorId="0" shapeId="0">
      <text>
        <r>
          <rPr>
            <sz val="10"/>
            <color indexed="81"/>
            <rFont val="Tahoma"/>
          </rPr>
          <t xml:space="preserve">Cumulative Lost time is determined by adding the number of claims received that month by the number of claims in the cumulative column of the prior month
</t>
        </r>
      </text>
    </comment>
    <comment ref="F7" authorId="0" shapeId="0">
      <text>
        <r>
          <rPr>
            <sz val="10"/>
            <color indexed="81"/>
            <rFont val="Tahoma"/>
          </rPr>
          <t>Cumulative Open is calculated by subtracting the prior months "Closed this Month" value from the  cumulative pending of the current month.</t>
        </r>
      </text>
    </comment>
    <comment ref="G7" authorId="0" shapeId="0">
      <text>
        <r>
          <rPr>
            <sz val="10"/>
            <color indexed="81"/>
            <rFont val="Tahoma"/>
          </rPr>
          <t xml:space="preserve">Closed this month is determined by multiplying the closure rate selected by the value of the cumulative open pending.  </t>
        </r>
      </text>
    </comment>
    <comment ref="I7" authorId="0" shapeId="0">
      <text>
        <r>
          <rPr>
            <sz val="10"/>
            <color indexed="81"/>
            <rFont val="Tahoma"/>
          </rPr>
          <t xml:space="preserve">The percentages in this column is determined by dividing the Pending case load value calculated in the variable worksheet into the New claims for the period.  The % value indicates the number of adjuster that will be required to perform this function base on the case load projections.  Note phase 1 is tied to only new claims.  </t>
        </r>
      </text>
    </comment>
    <comment ref="K7" authorId="0" shapeId="0">
      <text>
        <r>
          <rPr>
            <sz val="10"/>
            <color indexed="81"/>
            <rFont val="Tahoma"/>
          </rPr>
          <t>The percentages in this column is determined by dividing the Phase 2 Pending Case Load value calculated on the variable worksheet, into the cumulative open pending value less new claims reported for the same period (Those are accounted for in Phase 1) x the Phase 2 % factor found in the variable worksheet.</t>
        </r>
      </text>
    </comment>
    <comment ref="M7" authorId="0" shapeId="0">
      <text>
        <r>
          <rPr>
            <sz val="10"/>
            <color indexed="81"/>
            <rFont val="Tahoma"/>
          </rPr>
          <t xml:space="preserve">Phase 3% =( (Cumulative Open - New claims this period) x Phase 3 Factor on Variable Worksheet) /pending case load value calculated in Variable Worksheet </t>
        </r>
      </text>
    </comment>
    <comment ref="S7" authorId="0" shapeId="0">
      <text>
        <r>
          <rPr>
            <sz val="10"/>
            <color indexed="81"/>
            <rFont val="Tahoma"/>
          </rPr>
          <t>Total Staff = (Adjusters + Assistants + MO Adj) x Staffing Factor used in Variable Worksheet</t>
        </r>
      </text>
    </comment>
    <comment ref="V7" authorId="0" shapeId="0">
      <text>
        <r>
          <rPr>
            <sz val="10"/>
            <color indexed="81"/>
            <rFont val="Tahoma"/>
          </rPr>
          <t xml:space="preserve">For salary this model is using the average between a high clerical salary and a lowest adjuster's salary as calculated in the Variable Worksheet.  </t>
        </r>
      </text>
    </comment>
  </commentList>
</comments>
</file>

<file path=xl/comments5.xml><?xml version="1.0" encoding="utf-8"?>
<comments xmlns="http://schemas.openxmlformats.org/spreadsheetml/2006/main">
  <authors>
    <author>A satisfied Microsoft Office user</author>
  </authors>
  <commentList>
    <comment ref="A1" authorId="0" shapeId="0">
      <text>
        <r>
          <rPr>
            <sz val="10"/>
            <color indexed="81"/>
            <rFont val="Tahoma"/>
          </rPr>
          <t xml:space="preserve">This phase is based on the division of labor concept.  The task required of a new claim are different from the task associated with the return to work or the medical management functions.
Phase 2.    In addition the time line for a new claims task is jurisdiction dependent.  Thing like when a decision to deny must be made, when the first benefit check is due, when notice of loss must by filed with the state   30 calendar days should be average for this phase while RTW and Med Mgt. task suggest a longer cycle.   If the average lost time claims reports a 120 lost work days that # may be the basis for the Phase 2 cycle.    </t>
        </r>
      </text>
    </comment>
    <comment ref="B2" authorId="0" shapeId="0">
      <text>
        <r>
          <rPr>
            <sz val="10"/>
            <color indexed="81"/>
            <rFont val="Tahoma"/>
          </rPr>
          <t>How many time will this task be done at this phase on one claim file?</t>
        </r>
      </text>
    </comment>
    <comment ref="C2" authorId="0" shapeId="0">
      <text>
        <r>
          <rPr>
            <sz val="10"/>
            <color indexed="81"/>
            <rFont val="Tahoma"/>
          </rPr>
          <t xml:space="preserve">What is the probability that a claim will require this activity
</t>
        </r>
      </text>
    </comment>
    <comment ref="D2" authorId="0" shapeId="0">
      <text>
        <r>
          <rPr>
            <sz val="10"/>
            <color indexed="81"/>
            <rFont val="Tahoma"/>
          </rPr>
          <t xml:space="preserve">How much time has be allocated to complete this task.  </t>
        </r>
      </text>
    </comment>
  </commentList>
</comments>
</file>

<file path=xl/comments6.xml><?xml version="1.0" encoding="utf-8"?>
<comments xmlns="http://schemas.openxmlformats.org/spreadsheetml/2006/main">
  <authors>
    <author>A satisfied Microsoft Office user</author>
  </authors>
  <commentList>
    <comment ref="A1" authorId="0" shapeId="0">
      <text>
        <r>
          <rPr>
            <sz val="10"/>
            <color indexed="81"/>
            <rFont val="Tahoma"/>
          </rPr>
          <t xml:space="preserve">In Phase 2 we assume that the case will not involve any medical or benefits disputes and no attorney involvement is anticipated.  We also assume that the injured worker will been seen in network and will be released to return to work with or without restrictions with a normal time frame as indicated by occupation medical protocols.  The normal # of lost work days for closed lost time claims may be used as a time frame factor.  Other factors must be considered including social and economic factors.  </t>
        </r>
      </text>
    </comment>
    <comment ref="B2" authorId="0" shapeId="0">
      <text>
        <r>
          <rPr>
            <sz val="10"/>
            <color indexed="81"/>
            <rFont val="Tahoma"/>
          </rPr>
          <t>How many time will this task be done at this phase on one claim file?</t>
        </r>
      </text>
    </comment>
    <comment ref="C2" authorId="0" shapeId="0">
      <text>
        <r>
          <rPr>
            <sz val="10"/>
            <color indexed="81"/>
            <rFont val="Tahoma"/>
          </rPr>
          <t xml:space="preserve">What is the probability that a claim will require this activity
</t>
        </r>
      </text>
    </comment>
    <comment ref="D2" authorId="0" shapeId="0">
      <text>
        <r>
          <rPr>
            <sz val="10"/>
            <color indexed="81"/>
            <rFont val="Tahoma"/>
          </rPr>
          <t xml:space="preserve">How much time has be allocated to complete this task.  </t>
        </r>
      </text>
    </comment>
    <comment ref="A3" authorId="0" shapeId="0">
      <text>
        <r>
          <rPr>
            <sz val="10"/>
            <color indexed="81"/>
            <rFont val="Tahoma"/>
          </rPr>
          <t xml:space="preserve">This task is a duplication of time from phase 1 we should also look at this step as a second review and quality control step.  </t>
        </r>
      </text>
    </comment>
    <comment ref="A5" authorId="0" shapeId="0">
      <text>
        <r>
          <rPr>
            <sz val="10"/>
            <color indexed="81"/>
            <rFont val="Tahoma"/>
          </rPr>
          <t xml:space="preserve">This was not done in Phase 1 because of the short time line and to avoid confusion - if there was no Phase 2 handling plan this activity would be part of Phase 1.  </t>
        </r>
      </text>
    </comment>
    <comment ref="B6" authorId="0" shapeId="0">
      <text>
        <r>
          <rPr>
            <sz val="10"/>
            <color indexed="81"/>
            <rFont val="Tahoma"/>
          </rPr>
          <t>NCCI and other models suggest that regular contact with the employer will have a positive effect on closure.  The objective is to keep the employer involved in the case.  The number of contacts will be determined by how long the case remains open.  One contact every 30 days is suggested.</t>
        </r>
      </text>
    </comment>
    <comment ref="B7" authorId="0" shapeId="0">
      <text>
        <r>
          <rPr>
            <sz val="10"/>
            <color indexed="81"/>
            <rFont val="Tahoma"/>
          </rPr>
          <t>NCCI and other models suggest that regular contact with the employee will have a positive effect on closure.  The objective is to keep the employer involved in the case.  The number of contacts will be determined by how long the case remains open.  One contact every 30 days is suggested.</t>
        </r>
      </text>
    </comment>
  </commentList>
</comments>
</file>

<file path=xl/comments7.xml><?xml version="1.0" encoding="utf-8"?>
<comments xmlns="http://schemas.openxmlformats.org/spreadsheetml/2006/main">
  <authors>
    <author>A satisfied Microsoft Office user</author>
  </authors>
  <commentList>
    <comment ref="A1" authorId="0" shapeId="0">
      <text>
        <r>
          <rPr>
            <sz val="10"/>
            <color indexed="81"/>
            <rFont val="Tahoma"/>
          </rPr>
          <t xml:space="preserve">In Phase 2 we assume that the case will not involve any medical or benefits disputes and no attorney involvement is anticipated.  We also assume that the injured worker will been seen in network and will be released to return to work with or without restrictions with a normal time frame as indicated by occupation medical protocols.  The normal # of lost work days for closed lost time claims may be used as a time frame factor.  Other factors must be considered including social and economic factors.  </t>
        </r>
      </text>
    </comment>
    <comment ref="E1" authorId="0" shapeId="0">
      <text>
        <r>
          <rPr>
            <sz val="10"/>
            <color indexed="81"/>
            <rFont val="Tahoma"/>
          </rPr>
          <t xml:space="preserve">This value is displayed on the variable worksheet and is used on the staffing worksheet to calculate case load size.  Trial and Mediation present a particular problem since these costs will normally be handled as allocated cost.  </t>
        </r>
      </text>
    </comment>
    <comment ref="B2" authorId="0" shapeId="0">
      <text>
        <r>
          <rPr>
            <sz val="10"/>
            <color indexed="81"/>
            <rFont val="Tahoma"/>
          </rPr>
          <t>How many time will this task be done at this phase on one claim file?</t>
        </r>
      </text>
    </comment>
    <comment ref="C2" authorId="0" shapeId="0">
      <text>
        <r>
          <rPr>
            <sz val="10"/>
            <color indexed="81"/>
            <rFont val="Tahoma"/>
          </rPr>
          <t xml:space="preserve">What is the probability that a claim will require this activity
</t>
        </r>
      </text>
    </comment>
    <comment ref="D2" authorId="0" shapeId="0">
      <text>
        <r>
          <rPr>
            <sz val="10"/>
            <color indexed="81"/>
            <rFont val="Tahoma"/>
          </rPr>
          <t xml:space="preserve">How much time has be allocated to complete this task.  </t>
        </r>
      </text>
    </comment>
  </commentList>
</comments>
</file>

<file path=xl/sharedStrings.xml><?xml version="1.0" encoding="utf-8"?>
<sst xmlns="http://schemas.openxmlformats.org/spreadsheetml/2006/main" count="332" uniqueCount="298">
  <si>
    <t>Preminum Dollars</t>
  </si>
  <si>
    <t>Accident Rate Per Million Dollars of Premium</t>
  </si>
  <si>
    <t xml:space="preserve">Per Centage of Lost Time Accident </t>
  </si>
  <si>
    <t>Lost Time Closure Rate per Month</t>
  </si>
  <si>
    <t>Medical Only Closure Rate per Month</t>
  </si>
  <si>
    <t>Medical Only Ultimate Incurred Cost</t>
  </si>
  <si>
    <t>Average Closed Claim Cost</t>
  </si>
  <si>
    <t>Average Case Based Reserve (all Lost Time)</t>
  </si>
  <si>
    <t>Incurred Cost Loss adjustment Factor</t>
  </si>
  <si>
    <t>Phase 1 (New LT Claims) Production Hrs / Wk</t>
  </si>
  <si>
    <t>Phase 1 Weeks per period</t>
  </si>
  <si>
    <t>Phase 2 (Return to Work) Production Hrs / Wk</t>
  </si>
  <si>
    <t>Phase 2 Weeks per period</t>
  </si>
  <si>
    <t>Phase 2a Hours Worked per case</t>
  </si>
  <si>
    <t>Phase 2a (Medical Only) Production Hrs / Wk</t>
  </si>
  <si>
    <t>Phase 2a Weeks per period</t>
  </si>
  <si>
    <t>Phase 3 (Resolution) Production Hrs / Wk</t>
  </si>
  <si>
    <t>Phase 3 Weeks per period</t>
  </si>
  <si>
    <t>CLERICAL STAFFING FACTOR</t>
  </si>
  <si>
    <t>Staffing Factor</t>
  </si>
  <si>
    <t>National Average Weekly Wage</t>
  </si>
  <si>
    <t>Annual Preminum Growth Rate</t>
  </si>
  <si>
    <t>Annual Work Hours per Employee</t>
  </si>
  <si>
    <t>Benefit Factor %</t>
  </si>
  <si>
    <t>Overhead Factor %</t>
  </si>
  <si>
    <t>Phase 2 Factor %</t>
  </si>
  <si>
    <t>Phase 3 Factor %</t>
  </si>
  <si>
    <t>Adminstration Factor %</t>
  </si>
  <si>
    <t>Variables and their Effects</t>
  </si>
  <si>
    <t>Accident Rate Per Million</t>
  </si>
  <si>
    <t>Avg Open Pending</t>
  </si>
  <si>
    <t>Lost Time</t>
  </si>
  <si>
    <t>Medical Only</t>
  </si>
  <si>
    <t>Lost Time Claims per 1M</t>
  </si>
  <si>
    <t>12 months</t>
  </si>
  <si>
    <t>Med Only Claims per 1M</t>
  </si>
  <si>
    <t>24 months</t>
  </si>
  <si>
    <t>% of lost time case</t>
  </si>
  <si>
    <t>36 months</t>
  </si>
  <si>
    <t xml:space="preserve">% of medical only </t>
  </si>
  <si>
    <t>48 months</t>
  </si>
  <si>
    <t>60 months</t>
  </si>
  <si>
    <t>Lost Time Closure Rate</t>
  </si>
  <si>
    <t>Closure Rate per Month</t>
  </si>
  <si>
    <r>
      <t xml:space="preserve">Actual Closure </t>
    </r>
    <r>
      <rPr>
        <b/>
        <strike/>
        <sz val="10"/>
        <rFont val="Arial"/>
        <family val="2"/>
      </rPr>
      <t>%</t>
    </r>
  </si>
  <si>
    <t>MO Closure Rate</t>
  </si>
  <si>
    <t>% Closed at 24 months</t>
  </si>
  <si>
    <t>% Closed at 48 Months</t>
  </si>
  <si>
    <t>Loss Ratio</t>
  </si>
  <si>
    <t xml:space="preserve">Average Closed Claims Cost </t>
  </si>
  <si>
    <t>Average Case Based Reserve              (ALL Lost Time)</t>
  </si>
  <si>
    <t>Incurred Cost Loss Adjustment Factor</t>
  </si>
  <si>
    <t>Project Ultimate Incurred Cost</t>
  </si>
  <si>
    <t>STAFFING MODEL</t>
  </si>
  <si>
    <t>Hours worked per case per phase 1</t>
  </si>
  <si>
    <t>Hrs/ Week</t>
  </si>
  <si>
    <t>Wks/ Period</t>
  </si>
  <si>
    <t>Total Hrs</t>
  </si>
  <si>
    <t>Open Pending</t>
  </si>
  <si>
    <t>PHASE 1 NEW CLAIMS</t>
  </si>
  <si>
    <t>PHASE 2 RETURN TO WORK</t>
  </si>
  <si>
    <t>PHASE 2A MEDICAL ONLY</t>
  </si>
  <si>
    <t>PHASE 3 RESOLUTION</t>
  </si>
  <si>
    <t>Annual Premium Growth Rate</t>
  </si>
  <si>
    <t>Pay Schedule Model</t>
  </si>
  <si>
    <t>Hourly Wage</t>
  </si>
  <si>
    <t>HOURLY</t>
  </si>
  <si>
    <t>ANNUAL HRS</t>
  </si>
  <si>
    <t>Earned Premium at end of period</t>
  </si>
  <si>
    <t>Adjustment Factor</t>
  </si>
  <si>
    <t>RATE</t>
  </si>
  <si>
    <t xml:space="preserve">Benefit Factor </t>
  </si>
  <si>
    <t>Premium From 1 to 12</t>
  </si>
  <si>
    <t>CLERK 1</t>
  </si>
  <si>
    <t>Overhead Factor</t>
  </si>
  <si>
    <t>Premium From Mo 13 to Mo 24</t>
  </si>
  <si>
    <t>Hourly Rate</t>
  </si>
  <si>
    <t>CLERK 2</t>
  </si>
  <si>
    <t>Phase 2 Factor</t>
  </si>
  <si>
    <t>Premium From Mo 25 to Mo 36</t>
  </si>
  <si>
    <t>ADJUSTER 2</t>
  </si>
  <si>
    <t>Phase 3 Factor</t>
  </si>
  <si>
    <t>Premium From Mo 37 to Mo 48</t>
  </si>
  <si>
    <t>25 % of Hourly Rate</t>
  </si>
  <si>
    <t>Administration Factor</t>
  </si>
  <si>
    <t>Premium From Mo 49 to Mo60</t>
  </si>
  <si>
    <t>ADJUSTER 1 or 3</t>
  </si>
  <si>
    <t>ADJUSTER 3</t>
  </si>
  <si>
    <t>Phase 1 Avg/Mo.</t>
  </si>
  <si>
    <t>Phase 2 Avg/Mo.</t>
  </si>
  <si>
    <t>Phase 3 Avg/Mo.</t>
  </si>
  <si>
    <t>Clerical / Mo</t>
  </si>
  <si>
    <t>Medical Only/Mo.</t>
  </si>
  <si>
    <t>Total Staffing</t>
  </si>
  <si>
    <t>Staffing at 12 Months</t>
  </si>
  <si>
    <t>Staffing at 24 Months</t>
  </si>
  <si>
    <t>Staffing at 36 Months</t>
  </si>
  <si>
    <t>Staffing at 48 Months</t>
  </si>
  <si>
    <t>Staffing at 60 Months</t>
  </si>
  <si>
    <t>Cost Per Lost Time Claim</t>
  </si>
  <si>
    <t>Cost Per Medical Only</t>
  </si>
  <si>
    <t>Adjuster Payroll</t>
  </si>
  <si>
    <t xml:space="preserve">Clerical </t>
  </si>
  <si>
    <t>Med Only Payroll</t>
  </si>
  <si>
    <t>Total Payroll</t>
  </si>
  <si>
    <t>Employee Benefit Cost</t>
  </si>
  <si>
    <t>Overhead by Month</t>
  </si>
  <si>
    <t>Administration Cost</t>
  </si>
  <si>
    <t>Projected Operation Cost</t>
  </si>
  <si>
    <t>Income</t>
  </si>
  <si>
    <t>Profit/ Year</t>
  </si>
  <si>
    <t>%</t>
  </si>
  <si>
    <t>First</t>
  </si>
  <si>
    <t>Second Year</t>
  </si>
  <si>
    <t>Third Year</t>
  </si>
  <si>
    <t>Fourth Year</t>
  </si>
  <si>
    <t>Fifth Year</t>
  </si>
  <si>
    <t xml:space="preserve">Total </t>
  </si>
  <si>
    <t>Accident Rate per $ of Premium</t>
  </si>
  <si>
    <t>From Variables</t>
  </si>
  <si>
    <t xml:space="preserve"> Total Claim Cost</t>
  </si>
  <si>
    <t>Lost Time Accident Rate</t>
  </si>
  <si>
    <t>Med Only Accident Rate</t>
  </si>
  <si>
    <t>LOSS RATIO BASED ON CLOSE L.T. CLAIM COST ONLY</t>
  </si>
  <si>
    <t>IF MONTHLY CLOSURE RATE EQUALS</t>
  </si>
  <si>
    <t>PER CASE</t>
  </si>
  <si>
    <t># OF CLAIMS</t>
  </si>
  <si>
    <t>ALL CASES</t>
  </si>
  <si>
    <t>12 MONTH CLOSURE WILL BE</t>
  </si>
  <si>
    <t>24 MONTH CLOSURE WILL BE</t>
  </si>
  <si>
    <t>36 MONTH CLOSURE WILL BE</t>
  </si>
  <si>
    <t xml:space="preserve">48 MONTH CLOSURE WILL BE </t>
  </si>
  <si>
    <t>60 MONTH CLOSURE WILL BE</t>
  </si>
  <si>
    <t>72 MONTH CLOSURE WILL BE</t>
  </si>
  <si>
    <t>84 MONTH CLOSURE WILL BE</t>
  </si>
  <si>
    <t>96 MONTH CLOSURE WILL BE</t>
  </si>
  <si>
    <t>120 MONTH CLOSURE WILL BE</t>
  </si>
  <si>
    <t>132 MONTH CLOSURE WILL BE</t>
  </si>
  <si>
    <t>144 MONTH CLOSURE WILL BE</t>
  </si>
  <si>
    <t>156 MONTH CLOSURE WILL BE</t>
  </si>
  <si>
    <t>168 MONTH CLOSURE WILL BE</t>
  </si>
  <si>
    <t>180 MONTH CLOSURE WILL BE</t>
  </si>
  <si>
    <t>ULTIMATE COST</t>
  </si>
  <si>
    <t xml:space="preserve">AVG COST PER </t>
  </si>
  <si>
    <t>PREMIUM</t>
  </si>
  <si>
    <t>LOST TIME ACCIDENT RATE</t>
  </si>
  <si>
    <t>MED ONLY ACCIDENT RATE</t>
  </si>
  <si>
    <t>LOSS RATIO</t>
  </si>
  <si>
    <t>Task Time</t>
  </si>
  <si>
    <t>Hrs / Wk</t>
  </si>
  <si>
    <t>Wks/Period</t>
  </si>
  <si>
    <t>Pending Case Load For Period</t>
  </si>
  <si>
    <t>Monthly</t>
  </si>
  <si>
    <t>Step 1</t>
  </si>
  <si>
    <t>Phase Factor</t>
  </si>
  <si>
    <t>See source under variables</t>
  </si>
  <si>
    <t>Step 2</t>
  </si>
  <si>
    <t>per hr</t>
  </si>
  <si>
    <t>Total Claims Per 1M of Premium</t>
  </si>
  <si>
    <t>MO</t>
  </si>
  <si>
    <t>Step 2a</t>
  </si>
  <si>
    <t>Clerical Factor</t>
  </si>
  <si>
    <t>Benefit Factor</t>
  </si>
  <si>
    <t>annual</t>
  </si>
  <si>
    <t>Step 3</t>
  </si>
  <si>
    <t>Benefits</t>
  </si>
  <si>
    <t>Month</t>
  </si>
  <si>
    <t>Earned Premium for Month</t>
  </si>
  <si>
    <t>Cumulative Earned Premium</t>
  </si>
  <si>
    <t>New Lost Time</t>
  </si>
  <si>
    <t>Cumulative LOST TIME</t>
  </si>
  <si>
    <t>Cumulative Open</t>
  </si>
  <si>
    <t>Close This Month</t>
  </si>
  <si>
    <t>Cumulative Closed</t>
  </si>
  <si>
    <t>Phase 1</t>
  </si>
  <si>
    <t>Phase 1 Adj</t>
  </si>
  <si>
    <t>Phase 2</t>
  </si>
  <si>
    <t>Phase 2 Adj</t>
  </si>
  <si>
    <t>Phase 3</t>
  </si>
  <si>
    <t>Phase 3 Adj</t>
  </si>
  <si>
    <t>Adjuster</t>
  </si>
  <si>
    <t>Assistants</t>
  </si>
  <si>
    <t>MO ADJ</t>
  </si>
  <si>
    <t>Total Staff</t>
  </si>
  <si>
    <t>Clerical</t>
  </si>
  <si>
    <t>MED ONLY</t>
  </si>
  <si>
    <t>Income as % of Premium</t>
  </si>
  <si>
    <t>Benefits Factor</t>
  </si>
  <si>
    <t>Premium Factor</t>
  </si>
  <si>
    <t>Months</t>
  </si>
  <si>
    <t>Total Payroll by Month</t>
  </si>
  <si>
    <t>Total Operation Cost</t>
  </si>
  <si>
    <t>Income by Month</t>
  </si>
  <si>
    <t>Profits by Month</t>
  </si>
  <si>
    <t>% Return</t>
  </si>
  <si>
    <t>Hrs Worked</t>
  </si>
  <si>
    <t>Hrs/period</t>
  </si>
  <si>
    <t>MONTH</t>
  </si>
  <si>
    <t>NEW</t>
  </si>
  <si>
    <t>Cum Open</t>
  </si>
  <si>
    <t>CLOSED</t>
  </si>
  <si>
    <t>PENDING</t>
  </si>
  <si>
    <t>Month 1</t>
  </si>
  <si>
    <t>Months 2 &amp;3</t>
  </si>
  <si>
    <t>HR/MO</t>
  </si>
  <si>
    <t>Open</t>
  </si>
  <si>
    <t xml:space="preserve">Closed </t>
  </si>
  <si>
    <t>Total Closed</t>
  </si>
  <si>
    <t>Annual Rate</t>
  </si>
  <si>
    <t>Monthly Closure Rate</t>
  </si>
  <si>
    <t>AVERAGE ALLOCATED COST PER CASE</t>
  </si>
  <si>
    <t>Rate</t>
  </si>
  <si>
    <t>Hours</t>
  </si>
  <si>
    <t>Phone</t>
  </si>
  <si>
    <t>Ph Rate</t>
  </si>
  <si>
    <t>Typing</t>
  </si>
  <si>
    <t>Type Rate</t>
  </si>
  <si>
    <t>Support</t>
  </si>
  <si>
    <t>Milage</t>
  </si>
  <si>
    <t>Total/case</t>
  </si>
  <si>
    <t>% of Cases</t>
  </si>
  <si>
    <t>Cost of Service</t>
  </si>
  <si>
    <t>Phone Investigation</t>
  </si>
  <si>
    <t>Field Investigation</t>
  </si>
  <si>
    <t>Subro Investigation</t>
  </si>
  <si>
    <t>SIF Investigation</t>
  </si>
  <si>
    <t>Fraud Investiion</t>
  </si>
  <si>
    <t>Voc Rehabilitation</t>
  </si>
  <si>
    <t>Nurse Case Mgt</t>
  </si>
  <si>
    <t>Litigation Mgt</t>
  </si>
  <si>
    <t>Total Allocted Per 100 cases</t>
  </si>
  <si>
    <t>Average Allocated Per 100 Cases</t>
  </si>
  <si>
    <t>State Averge Cost per Case</t>
  </si>
  <si>
    <t>NSC Average Cost Per Case</t>
  </si>
  <si>
    <t>Profit per 100 Cases</t>
  </si>
  <si>
    <t>Phase One - New Lost Time Claims</t>
  </si>
  <si>
    <t>Task or Activity to be Performed</t>
  </si>
  <si>
    <t>Frequency</t>
  </si>
  <si>
    <t>Probability</t>
  </si>
  <si>
    <t>Time</t>
  </si>
  <si>
    <t>Total Time</t>
  </si>
  <si>
    <t>Adjuster receives electronic notification of a new loss, reviews notice</t>
  </si>
  <si>
    <t>Makes a decision to assign file to medical only adjuster or to retain</t>
  </si>
  <si>
    <t xml:space="preserve">Makes assignment for investigation  </t>
  </si>
  <si>
    <t>Receives medical information from Network Manager and review work diagnosis and work restriction, documents computer, feedback to network mgr.</t>
  </si>
  <si>
    <t>Index claim</t>
  </si>
  <si>
    <t>Makes initial decision to pay indemnity benefits and set initial case reserve using company reserve format.</t>
  </si>
  <si>
    <t xml:space="preserve">Orders first benefits check </t>
  </si>
  <si>
    <t xml:space="preserve">Sends benefit check to injured worker or to employer for delivery to worker alone with materials designed to educate the worker or employer about rights under the states WC law. </t>
  </si>
  <si>
    <t xml:space="preserve">Files proper notice of claim and notice that benefits have been started with the state - copy to employer </t>
  </si>
  <si>
    <t>Contact the employer is indicated by loss notice or medical information received</t>
  </si>
  <si>
    <t>Contact the employee if facts in loss notice or medical report suggest that contact is necessary to control claim</t>
  </si>
  <si>
    <t>Receive and review investigation report, write action plan, update summary report, document compensability decision, and transfer file to RTW adjuster is case is not being denied</t>
  </si>
  <si>
    <t>Complete follow up work in investigation after file is transferred</t>
  </si>
  <si>
    <t xml:space="preserve">Monitor RTW adjusters work </t>
  </si>
  <si>
    <t>Phase Two -  Adjuster focus is Medical Management &amp; Return To Work Issues</t>
  </si>
  <si>
    <t>Receive New transferred file.  Review prior adjusters action plan, summary report, computer notes, reserve sheets, medical report, and investigation report.  Follow action plan or revise and plan (approval) Doc review</t>
  </si>
  <si>
    <t>Determine the number of Indemnity Payments indicated by medical protocol and set up payment schedule in system</t>
  </si>
  <si>
    <t>Send contact letter to Employee, employer, and Network so that they know who is handling the case.</t>
  </si>
  <si>
    <t xml:space="preserve">Contact employer and discuss the merits of the case and determine if they have any concerns.  </t>
  </si>
  <si>
    <t xml:space="preserve">Contact employee and discuss the merits of the case and determine if they have any concerns or questions.  </t>
  </si>
  <si>
    <t>Receive and review medical reports for restrictions, testing, treatment compare with protocol for injury and feed back to Network Mgr., document computer records</t>
  </si>
  <si>
    <t>Release disability checks to worker and include information materials .</t>
  </si>
  <si>
    <t xml:space="preserve">Up date Action plan, summary report and reserve analysis </t>
  </si>
  <si>
    <t>Assign case  selected cases for medical management.</t>
  </si>
  <si>
    <t>Assign selected cases for vocational management.</t>
  </si>
  <si>
    <t>Receive medical management reports, read, document findings and provide adjuster feed back to nurse, employer, network manager</t>
  </si>
  <si>
    <t>Receive voc rehab reports, read, document findings and provide adjuster feed back to nurse, employer, network manager</t>
  </si>
  <si>
    <t>Receive and acknowledge notice of representation form plaintiff attorney.</t>
  </si>
  <si>
    <t>Receive notice of dispute, conference file with Phase 3 adjuster, document and transfer file to Phase 3 handling</t>
  </si>
  <si>
    <t>Out of Network and other disputed issues, including negotiation of settlements</t>
  </si>
  <si>
    <t>File notice with state that benefits have stopped and  close file.</t>
  </si>
  <si>
    <t xml:space="preserve">Receive Transferred File, document, update Action Plan, Summary Report, Reserve Analysis </t>
  </si>
  <si>
    <t>Prepare settlement analysis</t>
  </si>
  <si>
    <t>Attend Mediation to resolve dispute</t>
  </si>
  <si>
    <t>Assign to Defense Counsel - transmit file with instructions</t>
  </si>
  <si>
    <t>Notify Employer, Plaintiff Attorney, Network, Medical Providers Outside Network that he or she is adjuster.</t>
  </si>
  <si>
    <t>Written Correspondence with Defense attorney</t>
  </si>
  <si>
    <t>Written Correspondence with Plaintiff attorney</t>
  </si>
  <si>
    <t>Written Correspondence with Medical Providers</t>
  </si>
  <si>
    <t>Written Correspondence with Vocation Rehabilitation</t>
  </si>
  <si>
    <t>Phone contact with Above over life of file</t>
  </si>
  <si>
    <t>Contact with employer prior to trial</t>
  </si>
  <si>
    <t>Contact with witness prior to trial</t>
  </si>
  <si>
    <t>Assign for Surveillance</t>
  </si>
  <si>
    <t>Update Index system</t>
  </si>
  <si>
    <t>Negotiate Settlement after mediation</t>
  </si>
  <si>
    <t>Pay SEB benefits</t>
  </si>
  <si>
    <t>Attend Trial as Claim Mgt. witness assist DA with trial issues</t>
  </si>
  <si>
    <t>Prepare Mediation Report</t>
  </si>
  <si>
    <t>Prepare Trial Report</t>
  </si>
  <si>
    <t>Prepare High Cost Report</t>
  </si>
  <si>
    <t>Adverse development factor</t>
  </si>
  <si>
    <t>Close file, file closing notices with state, employer, medical providers</t>
  </si>
  <si>
    <t>Monthly Growth Rate</t>
  </si>
  <si>
    <t>Earned/MO</t>
  </si>
  <si>
    <t>First month writing</t>
  </si>
  <si>
    <t>Cumulative Writings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</si>
</sst>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6" formatCode="0.0%"/>
  </numFmts>
  <fonts count="27" x14ac:knownFonts="1">
    <font>
      <sz val="10"/>
      <name val="Arial"/>
    </font>
    <font>
      <b/>
      <sz val="10"/>
      <name val="Arial"/>
    </font>
    <font>
      <i/>
      <sz val="10"/>
      <name val="Arial"/>
    </font>
    <font>
      <sz val="10"/>
      <name val="Arial"/>
    </font>
    <font>
      <b/>
      <sz val="10"/>
      <name val="Arial"/>
      <family val="2"/>
    </font>
    <font>
      <sz val="8"/>
      <name val="Arial"/>
      <family val="2"/>
    </font>
    <font>
      <b/>
      <sz val="12"/>
      <name val="Arial"/>
      <family val="2"/>
    </font>
    <font>
      <b/>
      <sz val="9"/>
      <name val="Arial"/>
      <family val="2"/>
    </font>
    <font>
      <b/>
      <sz val="8"/>
      <name val="Arial"/>
      <family val="2"/>
    </font>
    <font>
      <sz val="10"/>
      <name val="Arial"/>
      <family val="2"/>
    </font>
    <font>
      <sz val="9"/>
      <name val="Arial"/>
      <family val="2"/>
    </font>
    <font>
      <sz val="7"/>
      <name val="Small Fonts"/>
      <family val="2"/>
    </font>
    <font>
      <b/>
      <sz val="8"/>
      <name val="Arial"/>
    </font>
    <font>
      <b/>
      <sz val="11"/>
      <name val="Arial"/>
      <family val="2"/>
    </font>
    <font>
      <sz val="11"/>
      <name val="Arial"/>
      <family val="2"/>
    </font>
    <font>
      <b/>
      <sz val="9"/>
      <name val="Arial"/>
    </font>
    <font>
      <sz val="12"/>
      <name val="Arial"/>
      <family val="2"/>
    </font>
    <font>
      <sz val="14"/>
      <name val="Arial"/>
      <family val="2"/>
    </font>
    <font>
      <b/>
      <sz val="12"/>
      <name val="Arial"/>
    </font>
    <font>
      <sz val="10"/>
      <color indexed="9"/>
      <name val="Arial"/>
      <family val="2"/>
    </font>
    <font>
      <b/>
      <sz val="8"/>
      <color indexed="9"/>
      <name val="Arial"/>
      <family val="2"/>
    </font>
    <font>
      <i/>
      <sz val="12"/>
      <name val="Arial"/>
    </font>
    <font>
      <b/>
      <sz val="12"/>
      <color indexed="17"/>
      <name val="Arial"/>
      <family val="2"/>
    </font>
    <font>
      <b/>
      <strike/>
      <sz val="10"/>
      <name val="Arial"/>
      <family val="2"/>
    </font>
    <font>
      <sz val="10"/>
      <color indexed="81"/>
      <name val="Tahoma"/>
    </font>
    <font>
      <b/>
      <i/>
      <sz val="10"/>
      <name val="Arial"/>
      <family val="2"/>
    </font>
    <font>
      <b/>
      <sz val="14"/>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248">
    <xf numFmtId="0" fontId="0" fillId="0" borderId="0" xfId="0"/>
    <xf numFmtId="9" fontId="0" fillId="0" borderId="0" xfId="0" applyNumberFormat="1"/>
    <xf numFmtId="164" fontId="0" fillId="0" borderId="0" xfId="0" applyNumberFormat="1" applyAlignment="1">
      <alignment horizontal="center"/>
    </xf>
    <xf numFmtId="1" fontId="0" fillId="0" borderId="0" xfId="0" applyNumberFormat="1" applyAlignment="1">
      <alignment horizontal="center"/>
    </xf>
    <xf numFmtId="9" fontId="0" fillId="0" borderId="0" xfId="3" applyFont="1"/>
    <xf numFmtId="1" fontId="1" fillId="0" borderId="0" xfId="0" applyNumberFormat="1" applyFont="1" applyAlignment="1">
      <alignment horizontal="center"/>
    </xf>
    <xf numFmtId="0" fontId="0" fillId="0" borderId="0" xfId="0" applyAlignment="1">
      <alignment horizontal="center"/>
    </xf>
    <xf numFmtId="8" fontId="0" fillId="0" borderId="0" xfId="0" applyNumberFormat="1"/>
    <xf numFmtId="44" fontId="0" fillId="0" borderId="0" xfId="2" applyFont="1"/>
    <xf numFmtId="44" fontId="0" fillId="0" borderId="0" xfId="0" applyNumberFormat="1"/>
    <xf numFmtId="9" fontId="0" fillId="0" borderId="0" xfId="3" applyFont="1" applyAlignment="1">
      <alignment horizontal="center"/>
    </xf>
    <xf numFmtId="2" fontId="0" fillId="0" borderId="0" xfId="0" applyNumberFormat="1" applyAlignment="1">
      <alignment horizontal="center"/>
    </xf>
    <xf numFmtId="0" fontId="0" fillId="0" borderId="0" xfId="0" applyAlignment="1">
      <alignment horizontal="center" wrapText="1"/>
    </xf>
    <xf numFmtId="9" fontId="1" fillId="0" borderId="0" xfId="3" applyFont="1" applyAlignment="1">
      <alignment horizontal="center"/>
    </xf>
    <xf numFmtId="1" fontId="0" fillId="0" borderId="0" xfId="3" applyNumberFormat="1" applyFont="1" applyAlignment="1">
      <alignment horizontal="center"/>
    </xf>
    <xf numFmtId="0" fontId="1" fillId="0" borderId="0" xfId="0" applyFont="1" applyAlignment="1">
      <alignment horizontal="center"/>
    </xf>
    <xf numFmtId="44" fontId="1" fillId="0" borderId="0" xfId="2" applyFont="1"/>
    <xf numFmtId="44" fontId="1" fillId="0" borderId="0" xfId="0" applyNumberFormat="1" applyFont="1"/>
    <xf numFmtId="164" fontId="1" fillId="0" borderId="0" xfId="0" applyNumberFormat="1" applyFont="1" applyAlignment="1">
      <alignment horizontal="center"/>
    </xf>
    <xf numFmtId="0" fontId="1" fillId="0" borderId="0" xfId="0" applyFont="1"/>
    <xf numFmtId="164" fontId="0" fillId="0" borderId="0" xfId="3" applyNumberFormat="1" applyFont="1" applyAlignment="1">
      <alignment horizontal="center"/>
    </xf>
    <xf numFmtId="0" fontId="3" fillId="0" borderId="0" xfId="0" applyFont="1" applyAlignment="1">
      <alignment horizontal="center"/>
    </xf>
    <xf numFmtId="44" fontId="3" fillId="0" borderId="0" xfId="2" applyFont="1"/>
    <xf numFmtId="44" fontId="3" fillId="0" borderId="0" xfId="0" applyNumberFormat="1" applyFont="1"/>
    <xf numFmtId="1" fontId="3" fillId="0" borderId="0" xfId="0" applyNumberFormat="1" applyFont="1" applyAlignment="1">
      <alignment horizontal="center"/>
    </xf>
    <xf numFmtId="164" fontId="3" fillId="0" borderId="0" xfId="0" applyNumberFormat="1" applyFont="1" applyAlignment="1">
      <alignment horizontal="center"/>
    </xf>
    <xf numFmtId="9" fontId="3" fillId="0" borderId="0" xfId="3" applyFont="1" applyAlignment="1">
      <alignment horizontal="center"/>
    </xf>
    <xf numFmtId="0" fontId="3" fillId="0" borderId="0" xfId="0" applyFont="1"/>
    <xf numFmtId="1" fontId="1" fillId="0" borderId="0" xfId="3" applyNumberFormat="1" applyFont="1" applyAlignment="1">
      <alignment horizontal="center"/>
    </xf>
    <xf numFmtId="0" fontId="1" fillId="0" borderId="1" xfId="0" applyFont="1" applyBorder="1"/>
    <xf numFmtId="44" fontId="1" fillId="0" borderId="1" xfId="0" applyNumberFormat="1" applyFont="1" applyBorder="1"/>
    <xf numFmtId="1" fontId="0" fillId="0" borderId="0" xfId="0" applyNumberFormat="1" applyAlignment="1" applyProtection="1">
      <alignment horizontal="center"/>
    </xf>
    <xf numFmtId="0" fontId="0" fillId="0" borderId="0" xfId="0" applyAlignment="1" applyProtection="1">
      <alignment horizontal="center"/>
    </xf>
    <xf numFmtId="2" fontId="1" fillId="0" borderId="0" xfId="0" applyNumberFormat="1" applyFont="1" applyAlignment="1">
      <alignment horizontal="center"/>
    </xf>
    <xf numFmtId="1" fontId="0" fillId="0" borderId="0" xfId="0" applyNumberFormat="1"/>
    <xf numFmtId="0" fontId="5" fillId="0" borderId="0" xfId="0" applyFont="1"/>
    <xf numFmtId="0" fontId="0" fillId="0" borderId="1" xfId="0" applyBorder="1"/>
    <xf numFmtId="0" fontId="0" fillId="2" borderId="1" xfId="0" applyFill="1" applyBorder="1"/>
    <xf numFmtId="44" fontId="0" fillId="0" borderId="1" xfId="2" applyFont="1" applyBorder="1"/>
    <xf numFmtId="0" fontId="0" fillId="0" borderId="1" xfId="0" applyBorder="1" applyAlignment="1">
      <alignment horizontal="center"/>
    </xf>
    <xf numFmtId="44" fontId="1" fillId="2" borderId="1" xfId="2" applyFont="1" applyFill="1" applyBorder="1"/>
    <xf numFmtId="0" fontId="1" fillId="2" borderId="1" xfId="0" applyFont="1" applyFill="1" applyBorder="1"/>
    <xf numFmtId="0" fontId="1" fillId="2" borderId="1" xfId="0" applyFont="1" applyFill="1" applyBorder="1" applyAlignment="1">
      <alignment horizontal="center"/>
    </xf>
    <xf numFmtId="44" fontId="4" fillId="2" borderId="1" xfId="2" applyFont="1" applyFill="1" applyBorder="1"/>
    <xf numFmtId="44" fontId="0" fillId="0" borderId="0" xfId="2" applyFont="1" applyAlignment="1">
      <alignment horizontal="center"/>
    </xf>
    <xf numFmtId="166" fontId="0" fillId="0" borderId="1" xfId="3" applyNumberFormat="1" applyFont="1" applyBorder="1"/>
    <xf numFmtId="0" fontId="0" fillId="0" borderId="1" xfId="0" applyBorder="1" applyAlignment="1">
      <alignment horizontal="center" wrapText="1"/>
    </xf>
    <xf numFmtId="1" fontId="0" fillId="0" borderId="1" xfId="0" applyNumberFormat="1" applyBorder="1" applyAlignment="1">
      <alignment horizontal="center" wrapText="1"/>
    </xf>
    <xf numFmtId="0" fontId="2" fillId="0" borderId="0" xfId="0" applyFont="1"/>
    <xf numFmtId="0" fontId="1" fillId="0" borderId="0" xfId="0" applyFont="1" applyAlignment="1">
      <alignment horizontal="center" wrapText="1"/>
    </xf>
    <xf numFmtId="0" fontId="1" fillId="0" borderId="1" xfId="0" applyFont="1" applyBorder="1" applyAlignment="1">
      <alignment horizontal="center" wrapText="1"/>
    </xf>
    <xf numFmtId="0" fontId="7" fillId="0" borderId="0" xfId="0" applyFont="1" applyAlignment="1">
      <alignment horizontal="center"/>
    </xf>
    <xf numFmtId="9" fontId="1" fillId="0" borderId="0" xfId="0" applyNumberFormat="1" applyFont="1" applyAlignment="1">
      <alignment horizontal="center"/>
    </xf>
    <xf numFmtId="0" fontId="1" fillId="0" borderId="0" xfId="0" applyFont="1" applyAlignment="1"/>
    <xf numFmtId="0" fontId="5" fillId="0" borderId="0" xfId="0" applyFont="1" applyAlignment="1">
      <alignment horizontal="center"/>
    </xf>
    <xf numFmtId="0" fontId="9" fillId="2" borderId="1" xfId="0" applyFont="1" applyFill="1" applyBorder="1"/>
    <xf numFmtId="0" fontId="1" fillId="0" borderId="1" xfId="0" applyFont="1" applyBorder="1" applyAlignment="1">
      <alignment horizontal="center"/>
    </xf>
    <xf numFmtId="9" fontId="1" fillId="0" borderId="0" xfId="3" applyFont="1"/>
    <xf numFmtId="44" fontId="0" fillId="0" borderId="1" xfId="0" applyNumberFormat="1" applyBorder="1"/>
    <xf numFmtId="0" fontId="11" fillId="0" borderId="0" xfId="0" applyFont="1" applyAlignment="1">
      <alignment vertical="center" wrapText="1"/>
    </xf>
    <xf numFmtId="0" fontId="0" fillId="0" borderId="0" xfId="0" applyAlignment="1">
      <alignment wrapText="1"/>
    </xf>
    <xf numFmtId="0" fontId="0" fillId="0" borderId="0" xfId="0" applyAlignment="1">
      <alignment horizontal="left" wrapText="1"/>
    </xf>
    <xf numFmtId="0" fontId="11" fillId="0" borderId="0" xfId="0" applyFont="1" applyAlignment="1">
      <alignment vertical="center"/>
    </xf>
    <xf numFmtId="0" fontId="5" fillId="0" borderId="0" xfId="0" applyFont="1" applyAlignment="1">
      <alignment wrapText="1"/>
    </xf>
    <xf numFmtId="2" fontId="2" fillId="0" borderId="0" xfId="0" applyNumberFormat="1" applyFont="1" applyAlignment="1">
      <alignment horizontal="center"/>
    </xf>
    <xf numFmtId="0" fontId="0" fillId="2" borderId="2" xfId="0" applyFill="1" applyBorder="1" applyAlignment="1">
      <alignment horizontal="center"/>
    </xf>
    <xf numFmtId="9" fontId="1" fillId="2" borderId="2" xfId="3" applyFont="1" applyFill="1" applyBorder="1" applyAlignment="1">
      <alignment horizontal="center"/>
    </xf>
    <xf numFmtId="0" fontId="9" fillId="0" borderId="0" xfId="0" applyFont="1" applyFill="1" applyBorder="1" applyAlignment="1">
      <alignment horizontal="left"/>
    </xf>
    <xf numFmtId="164" fontId="3" fillId="0" borderId="0" xfId="3" applyNumberFormat="1" applyFont="1" applyAlignment="1">
      <alignment horizontal="center"/>
    </xf>
    <xf numFmtId="2" fontId="3" fillId="0" borderId="0" xfId="0" applyNumberFormat="1" applyFont="1" applyAlignment="1">
      <alignment horizontal="center"/>
    </xf>
    <xf numFmtId="164" fontId="0" fillId="0" borderId="0" xfId="0" applyNumberFormat="1"/>
    <xf numFmtId="2" fontId="0" fillId="0" borderId="0" xfId="0" applyNumberFormat="1"/>
    <xf numFmtId="9" fontId="0" fillId="0" borderId="0" xfId="2" applyNumberFormat="1" applyFont="1" applyAlignment="1">
      <alignment horizontal="center"/>
    </xf>
    <xf numFmtId="44" fontId="0" fillId="0" borderId="0" xfId="2" applyFont="1" applyAlignment="1">
      <alignment horizontal="left"/>
    </xf>
    <xf numFmtId="0" fontId="0" fillId="0" borderId="0" xfId="0" applyAlignment="1">
      <alignment horizontal="left"/>
    </xf>
    <xf numFmtId="6" fontId="0" fillId="0" borderId="0" xfId="2" applyNumberFormat="1" applyFont="1" applyAlignment="1">
      <alignment horizontal="center"/>
    </xf>
    <xf numFmtId="44" fontId="1" fillId="0" borderId="0" xfId="2" applyFont="1" applyAlignment="1">
      <alignment horizontal="center"/>
    </xf>
    <xf numFmtId="0" fontId="10" fillId="0" borderId="0" xfId="0" applyFont="1" applyAlignment="1">
      <alignment horizontal="center"/>
    </xf>
    <xf numFmtId="9" fontId="6" fillId="2" borderId="2" xfId="3" applyFont="1" applyFill="1" applyBorder="1" applyAlignment="1">
      <alignment horizontal="center"/>
    </xf>
    <xf numFmtId="0" fontId="0" fillId="3" borderId="0" xfId="0" applyFill="1" applyBorder="1"/>
    <xf numFmtId="0" fontId="1" fillId="3" borderId="0" xfId="0" applyFont="1" applyFill="1" applyBorder="1"/>
    <xf numFmtId="1" fontId="0" fillId="3" borderId="0" xfId="0" applyNumberFormat="1" applyFill="1" applyBorder="1" applyAlignment="1">
      <alignment horizontal="center"/>
    </xf>
    <xf numFmtId="9" fontId="0" fillId="3" borderId="0" xfId="3" applyFont="1" applyFill="1"/>
    <xf numFmtId="0" fontId="1" fillId="3" borderId="0" xfId="0" applyFont="1" applyFill="1" applyAlignment="1">
      <alignment horizontal="center"/>
    </xf>
    <xf numFmtId="0" fontId="0" fillId="3" borderId="0" xfId="0" applyFill="1"/>
    <xf numFmtId="0" fontId="0" fillId="3" borderId="0" xfId="0" applyFill="1" applyAlignment="1">
      <alignment horizontal="center"/>
    </xf>
    <xf numFmtId="1" fontId="0" fillId="3" borderId="0" xfId="0" applyNumberFormat="1" applyFill="1" applyAlignment="1">
      <alignment horizontal="center"/>
    </xf>
    <xf numFmtId="164" fontId="1" fillId="0" borderId="1" xfId="0" applyNumberFormat="1" applyFont="1" applyBorder="1" applyAlignment="1">
      <alignment horizontal="center"/>
    </xf>
    <xf numFmtId="0" fontId="0" fillId="0" borderId="0" xfId="0" applyBorder="1"/>
    <xf numFmtId="9" fontId="0" fillId="0" borderId="3" xfId="0" applyNumberFormat="1" applyBorder="1" applyAlignment="1">
      <alignment horizontal="center"/>
    </xf>
    <xf numFmtId="9" fontId="0" fillId="0" borderId="4" xfId="0" applyNumberFormat="1" applyBorder="1" applyAlignment="1">
      <alignment horizontal="center"/>
    </xf>
    <xf numFmtId="9" fontId="0" fillId="0" borderId="5"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6" xfId="0" applyFont="1" applyBorder="1" applyAlignment="1">
      <alignment horizontal="center"/>
    </xf>
    <xf numFmtId="0" fontId="16" fillId="0" borderId="6" xfId="0" applyFont="1" applyBorder="1" applyAlignment="1">
      <alignment horizontal="center"/>
    </xf>
    <xf numFmtId="0" fontId="0" fillId="2" borderId="1" xfId="0" applyFill="1" applyBorder="1" applyAlignment="1">
      <alignment horizontal="center"/>
    </xf>
    <xf numFmtId="44" fontId="0" fillId="2" borderId="1" xfId="2" applyFont="1" applyFill="1" applyBorder="1"/>
    <xf numFmtId="44" fontId="0" fillId="2" borderId="1" xfId="0" applyNumberFormat="1" applyFill="1" applyBorder="1"/>
    <xf numFmtId="44" fontId="0" fillId="2" borderId="1" xfId="2" applyFont="1" applyFill="1" applyBorder="1" applyAlignment="1">
      <alignment horizontal="center"/>
    </xf>
    <xf numFmtId="44" fontId="0" fillId="0" borderId="1" xfId="2" applyFont="1" applyBorder="1" applyAlignment="1">
      <alignment horizontal="center" wrapText="1"/>
    </xf>
    <xf numFmtId="10" fontId="0" fillId="0" borderId="0" xfId="3" applyNumberFormat="1" applyFont="1" applyAlignment="1">
      <alignment horizontal="center"/>
    </xf>
    <xf numFmtId="1" fontId="0" fillId="0" borderId="0" xfId="2" applyNumberFormat="1" applyFont="1" applyAlignment="1">
      <alignment horizontal="center"/>
    </xf>
    <xf numFmtId="44" fontId="0" fillId="0" borderId="0" xfId="2" applyFont="1" applyAlignment="1">
      <alignment horizontal="right"/>
    </xf>
    <xf numFmtId="44" fontId="0" fillId="0" borderId="0" xfId="2" applyFont="1" applyAlignment="1">
      <alignment horizontal="center" wrapText="1"/>
    </xf>
    <xf numFmtId="10" fontId="0" fillId="0" borderId="0" xfId="3" applyNumberFormat="1" applyFont="1"/>
    <xf numFmtId="0" fontId="16" fillId="0" borderId="0" xfId="0" applyFont="1"/>
    <xf numFmtId="0" fontId="18" fillId="2" borderId="2" xfId="0" applyFont="1" applyFill="1" applyBorder="1" applyAlignment="1">
      <alignment horizontal="center"/>
    </xf>
    <xf numFmtId="0" fontId="19" fillId="3" borderId="0" xfId="0" applyFont="1" applyFill="1"/>
    <xf numFmtId="44" fontId="17" fillId="0" borderId="7" xfId="2" applyFont="1" applyBorder="1"/>
    <xf numFmtId="0" fontId="20" fillId="0" borderId="0" xfId="0" applyFont="1" applyFill="1" applyBorder="1" applyAlignment="1">
      <alignment horizontal="center"/>
    </xf>
    <xf numFmtId="0" fontId="21" fillId="3" borderId="0" xfId="0" applyFont="1" applyFill="1" applyBorder="1" applyAlignment="1">
      <alignment horizontal="center"/>
    </xf>
    <xf numFmtId="166" fontId="22" fillId="3" borderId="1" xfId="3" applyNumberFormat="1" applyFont="1" applyFill="1" applyBorder="1" applyAlignment="1">
      <alignment horizontal="center"/>
    </xf>
    <xf numFmtId="44" fontId="0" fillId="0" borderId="0" xfId="3" applyNumberFormat="1" applyFont="1"/>
    <xf numFmtId="0" fontId="6" fillId="3" borderId="0" xfId="0" applyFont="1" applyFill="1" applyBorder="1"/>
    <xf numFmtId="1" fontId="1" fillId="4" borderId="1" xfId="0" applyNumberFormat="1" applyFont="1" applyFill="1" applyBorder="1" applyAlignment="1">
      <alignment horizontal="center"/>
    </xf>
    <xf numFmtId="9" fontId="14" fillId="4" borderId="1" xfId="3" applyFont="1" applyFill="1" applyBorder="1" applyAlignment="1">
      <alignment horizontal="center"/>
    </xf>
    <xf numFmtId="9" fontId="18" fillId="4" borderId="6" xfId="0" applyNumberFormat="1" applyFont="1" applyFill="1" applyBorder="1" applyAlignment="1">
      <alignment horizontal="center"/>
    </xf>
    <xf numFmtId="9" fontId="0" fillId="4" borderId="2" xfId="3" applyFont="1" applyFill="1" applyBorder="1" applyAlignment="1">
      <alignment horizontal="center"/>
    </xf>
    <xf numFmtId="1" fontId="0" fillId="4" borderId="1" xfId="0" applyNumberFormat="1" applyFill="1" applyBorder="1" applyAlignment="1">
      <alignment horizontal="center"/>
    </xf>
    <xf numFmtId="166" fontId="4" fillId="4" borderId="0" xfId="3" applyNumberFormat="1" applyFont="1" applyFill="1" applyBorder="1" applyAlignment="1">
      <alignment horizontal="center"/>
    </xf>
    <xf numFmtId="44" fontId="17" fillId="4" borderId="7" xfId="2" applyFont="1" applyFill="1" applyBorder="1"/>
    <xf numFmtId="166" fontId="6" fillId="4" borderId="8" xfId="3" applyNumberFormat="1" applyFont="1" applyFill="1" applyBorder="1" applyAlignment="1">
      <alignment horizontal="center"/>
    </xf>
    <xf numFmtId="0" fontId="6" fillId="5" borderId="1" xfId="0" applyFont="1" applyFill="1" applyBorder="1" applyAlignment="1">
      <alignment horizontal="center"/>
    </xf>
    <xf numFmtId="0" fontId="6" fillId="5" borderId="1"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2" fillId="5" borderId="1" xfId="0" applyFont="1" applyFill="1" applyBorder="1" applyAlignment="1">
      <alignment horizontal="center" wrapText="1"/>
    </xf>
    <xf numFmtId="0" fontId="1" fillId="5" borderId="0" xfId="0" applyFont="1" applyFill="1" applyAlignment="1">
      <alignment horizontal="center"/>
    </xf>
    <xf numFmtId="0" fontId="1" fillId="5" borderId="1" xfId="0" applyFont="1" applyFill="1" applyBorder="1"/>
    <xf numFmtId="0" fontId="0" fillId="5" borderId="0" xfId="0" applyFill="1"/>
    <xf numFmtId="0" fontId="6" fillId="5" borderId="0" xfId="0" applyFont="1" applyFill="1" applyAlignment="1">
      <alignment horizontal="center"/>
    </xf>
    <xf numFmtId="0" fontId="1" fillId="2" borderId="9" xfId="0" applyFont="1" applyFill="1" applyBorder="1" applyAlignment="1">
      <alignment horizontal="center"/>
    </xf>
    <xf numFmtId="0" fontId="1" fillId="2" borderId="8" xfId="0" applyFont="1" applyFill="1" applyBorder="1" applyAlignment="1">
      <alignment horizontal="center"/>
    </xf>
    <xf numFmtId="0" fontId="8" fillId="2" borderId="8" xfId="0" applyFont="1" applyFill="1" applyBorder="1" applyAlignment="1">
      <alignment horizontal="center"/>
    </xf>
    <xf numFmtId="0" fontId="1" fillId="5" borderId="10" xfId="0" applyFont="1" applyFill="1" applyBorder="1" applyAlignment="1">
      <alignment horizontal="center"/>
    </xf>
    <xf numFmtId="0" fontId="3" fillId="4" borderId="11" xfId="0" applyFont="1" applyFill="1" applyBorder="1" applyAlignment="1">
      <alignment horizontal="center"/>
    </xf>
    <xf numFmtId="0" fontId="1" fillId="2" borderId="11" xfId="0" applyFont="1" applyFill="1" applyBorder="1" applyAlignment="1">
      <alignment horizontal="center"/>
    </xf>
    <xf numFmtId="0" fontId="1" fillId="5" borderId="12" xfId="0" applyFont="1" applyFill="1" applyBorder="1" applyAlignment="1">
      <alignment horizontal="center"/>
    </xf>
    <xf numFmtId="0" fontId="6" fillId="5" borderId="13" xfId="0" applyFont="1" applyFill="1" applyBorder="1" applyAlignment="1">
      <alignment horizontal="center"/>
    </xf>
    <xf numFmtId="0" fontId="3" fillId="4"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1" fontId="0" fillId="4" borderId="4" xfId="0" applyNumberFormat="1" applyFill="1" applyBorder="1" applyAlignment="1">
      <alignment horizontal="center"/>
    </xf>
    <xf numFmtId="1" fontId="0" fillId="4" borderId="5" xfId="0" applyNumberFormat="1" applyFill="1" applyBorder="1" applyAlignment="1">
      <alignment horizontal="center"/>
    </xf>
    <xf numFmtId="0" fontId="25" fillId="5" borderId="3" xfId="0" applyFont="1" applyFill="1" applyBorder="1" applyAlignment="1"/>
    <xf numFmtId="0" fontId="25" fillId="5" borderId="2" xfId="0" applyFont="1" applyFill="1" applyBorder="1" applyAlignment="1"/>
    <xf numFmtId="0" fontId="25" fillId="5" borderId="18" xfId="0" applyFont="1" applyFill="1" applyBorder="1" applyAlignment="1"/>
    <xf numFmtId="0" fontId="25" fillId="5" borderId="19" xfId="0" applyFont="1" applyFill="1" applyBorder="1" applyAlignment="1"/>
    <xf numFmtId="0" fontId="25" fillId="5" borderId="20" xfId="0" applyFont="1" applyFill="1" applyBorder="1" applyAlignment="1"/>
    <xf numFmtId="0" fontId="13" fillId="5" borderId="0" xfId="0" applyFont="1" applyFill="1" applyAlignment="1">
      <alignment horizontal="center"/>
    </xf>
    <xf numFmtId="0" fontId="1" fillId="5" borderId="0" xfId="0" applyFont="1" applyFill="1" applyAlignment="1">
      <alignment horizontal="center" wrapText="1"/>
    </xf>
    <xf numFmtId="0" fontId="15" fillId="5" borderId="0" xfId="0" applyFont="1" applyFill="1" applyAlignment="1">
      <alignment horizontal="center"/>
    </xf>
    <xf numFmtId="0" fontId="1" fillId="5" borderId="2" xfId="0" applyFont="1" applyFill="1" applyBorder="1" applyAlignment="1">
      <alignment horizontal="center" wrapText="1"/>
    </xf>
    <xf numFmtId="0" fontId="4" fillId="5" borderId="1" xfId="0" applyFont="1" applyFill="1" applyBorder="1" applyAlignment="1">
      <alignment horizontal="center"/>
    </xf>
    <xf numFmtId="0" fontId="1" fillId="5" borderId="0" xfId="0" applyFont="1" applyFill="1"/>
    <xf numFmtId="166" fontId="26" fillId="2" borderId="13" xfId="3" applyNumberFormat="1" applyFont="1" applyFill="1" applyBorder="1" applyAlignment="1">
      <alignment horizontal="center"/>
    </xf>
    <xf numFmtId="9" fontId="26" fillId="4" borderId="21" xfId="0" applyNumberFormat="1" applyFont="1" applyFill="1" applyBorder="1" applyAlignment="1">
      <alignment horizontal="center"/>
    </xf>
    <xf numFmtId="9" fontId="0" fillId="2" borderId="22" xfId="3" applyFont="1" applyFill="1" applyBorder="1" applyAlignment="1">
      <alignment horizontal="center"/>
    </xf>
    <xf numFmtId="9" fontId="16" fillId="2" borderId="2" xfId="3" applyFont="1" applyFill="1" applyBorder="1" applyAlignment="1">
      <alignment horizontal="center"/>
    </xf>
    <xf numFmtId="44" fontId="6" fillId="2" borderId="0" xfId="2" applyFont="1" applyFill="1" applyAlignment="1">
      <alignment horizontal="center"/>
    </xf>
    <xf numFmtId="0" fontId="1" fillId="4" borderId="23" xfId="0" applyFont="1" applyFill="1" applyBorder="1" applyAlignment="1">
      <alignment horizontal="center"/>
    </xf>
    <xf numFmtId="0" fontId="1" fillId="5" borderId="6" xfId="0" applyFont="1" applyFill="1" applyBorder="1"/>
    <xf numFmtId="0" fontId="19" fillId="3" borderId="24" xfId="0" applyFont="1" applyFill="1" applyBorder="1"/>
    <xf numFmtId="0" fontId="0" fillId="3" borderId="24" xfId="0" applyFill="1" applyBorder="1"/>
    <xf numFmtId="0" fontId="0" fillId="0" borderId="25" xfId="0" applyBorder="1"/>
    <xf numFmtId="0" fontId="0" fillId="3" borderId="25" xfId="0" applyFill="1" applyBorder="1"/>
    <xf numFmtId="0" fontId="0" fillId="3" borderId="26" xfId="0" applyFill="1" applyBorder="1"/>
    <xf numFmtId="0" fontId="7" fillId="5" borderId="0" xfId="0" applyFont="1" applyFill="1" applyBorder="1" applyAlignment="1">
      <alignment horizontal="center"/>
    </xf>
    <xf numFmtId="0" fontId="10" fillId="3" borderId="0" xfId="0" applyFont="1" applyFill="1" applyBorder="1" applyAlignment="1">
      <alignment horizontal="center"/>
    </xf>
    <xf numFmtId="0" fontId="10" fillId="3" borderId="26" xfId="0" applyFont="1" applyFill="1" applyBorder="1" applyAlignment="1">
      <alignment horizontal="center"/>
    </xf>
    <xf numFmtId="0" fontId="0" fillId="3" borderId="27" xfId="0" applyFill="1" applyBorder="1"/>
    <xf numFmtId="0" fontId="10" fillId="3" borderId="25" xfId="0" applyFont="1" applyFill="1" applyBorder="1" applyAlignment="1">
      <alignment horizontal="center"/>
    </xf>
    <xf numFmtId="0" fontId="13" fillId="5" borderId="25" xfId="0" applyFont="1" applyFill="1" applyBorder="1"/>
    <xf numFmtId="0" fontId="6" fillId="5" borderId="28" xfId="0" applyFont="1" applyFill="1" applyBorder="1"/>
    <xf numFmtId="0" fontId="26" fillId="5" borderId="1" xfId="0" applyFont="1" applyFill="1" applyBorder="1"/>
    <xf numFmtId="0" fontId="13" fillId="5" borderId="0" xfId="0" applyFont="1" applyFill="1" applyBorder="1" applyAlignment="1">
      <alignment horizontal="center" wrapText="1"/>
    </xf>
    <xf numFmtId="0" fontId="1" fillId="5" borderId="17" xfId="0" applyFont="1" applyFill="1" applyBorder="1" applyAlignment="1">
      <alignment horizontal="center"/>
    </xf>
    <xf numFmtId="0" fontId="6" fillId="5" borderId="17" xfId="0" applyFont="1" applyFill="1" applyBorder="1" applyAlignment="1">
      <alignment horizontal="center" wrapText="1"/>
    </xf>
    <xf numFmtId="0" fontId="1" fillId="5" borderId="28" xfId="0" applyFont="1" applyFill="1" applyBorder="1" applyAlignment="1">
      <alignment horizontal="center"/>
    </xf>
    <xf numFmtId="0" fontId="7" fillId="5" borderId="29" xfId="0" applyFont="1" applyFill="1" applyBorder="1" applyAlignment="1">
      <alignment horizontal="center"/>
    </xf>
    <xf numFmtId="0" fontId="4" fillId="5" borderId="22" xfId="0" applyFont="1" applyFill="1" applyBorder="1" applyAlignment="1">
      <alignment horizontal="center"/>
    </xf>
    <xf numFmtId="0" fontId="13" fillId="5" borderId="20" xfId="0" applyFont="1" applyFill="1" applyBorder="1" applyAlignment="1">
      <alignment horizontal="center"/>
    </xf>
    <xf numFmtId="0" fontId="6" fillId="5" borderId="20" xfId="0" applyFont="1" applyFill="1" applyBorder="1"/>
    <xf numFmtId="0" fontId="6" fillId="2" borderId="22" xfId="0" applyFont="1" applyFill="1" applyBorder="1" applyAlignment="1">
      <alignment horizontal="center"/>
    </xf>
    <xf numFmtId="44" fontId="26" fillId="2" borderId="0" xfId="2" applyFont="1" applyFill="1" applyBorder="1" applyAlignment="1">
      <alignment horizontal="centerContinuous" vertical="center"/>
    </xf>
    <xf numFmtId="0" fontId="26" fillId="5" borderId="0" xfId="0" applyFont="1" applyFill="1" applyBorder="1" applyAlignment="1">
      <alignment horizontal="center"/>
    </xf>
    <xf numFmtId="44" fontId="26" fillId="4" borderId="0" xfId="2" applyFont="1" applyFill="1" applyBorder="1"/>
    <xf numFmtId="44" fontId="26" fillId="4" borderId="0" xfId="2" applyFont="1" applyFill="1" applyBorder="1" applyAlignment="1">
      <alignment horizontal="center"/>
    </xf>
    <xf numFmtId="44" fontId="17" fillId="4" borderId="1" xfId="2" applyFont="1" applyFill="1" applyBorder="1"/>
    <xf numFmtId="9" fontId="26" fillId="2" borderId="1" xfId="3" applyFont="1" applyFill="1" applyBorder="1" applyAlignment="1">
      <alignment horizontal="center"/>
    </xf>
    <xf numFmtId="9" fontId="17" fillId="2" borderId="20" xfId="3" applyFont="1" applyFill="1" applyBorder="1" applyAlignment="1">
      <alignment horizontal="center"/>
    </xf>
    <xf numFmtId="0" fontId="16" fillId="5" borderId="1" xfId="0" applyFont="1" applyFill="1" applyBorder="1"/>
    <xf numFmtId="9" fontId="26" fillId="2" borderId="30" xfId="3" applyFont="1" applyFill="1" applyBorder="1" applyAlignment="1">
      <alignment horizontal="center"/>
    </xf>
    <xf numFmtId="0" fontId="6" fillId="5" borderId="1" xfId="0" applyFont="1" applyFill="1" applyBorder="1" applyAlignment="1">
      <alignment horizontal="center" vertical="center"/>
    </xf>
    <xf numFmtId="44" fontId="16" fillId="4" borderId="16" xfId="2" applyFont="1" applyFill="1" applyBorder="1"/>
    <xf numFmtId="44" fontId="16" fillId="4" borderId="1" xfId="0" applyNumberFormat="1" applyFont="1" applyFill="1" applyBorder="1"/>
    <xf numFmtId="44" fontId="16" fillId="4" borderId="7" xfId="2" applyFont="1" applyFill="1" applyBorder="1" applyAlignment="1">
      <alignment horizontal="center"/>
    </xf>
    <xf numFmtId="44" fontId="16" fillId="4" borderId="31" xfId="2" applyFont="1" applyFill="1" applyBorder="1"/>
    <xf numFmtId="44" fontId="16" fillId="4" borderId="19" xfId="2" applyFont="1" applyFill="1" applyBorder="1"/>
    <xf numFmtId="44" fontId="16" fillId="4" borderId="32" xfId="0" applyNumberFormat="1" applyFont="1" applyFill="1" applyBorder="1" applyAlignment="1">
      <alignment horizontal="center"/>
    </xf>
    <xf numFmtId="44" fontId="16" fillId="4" borderId="32" xfId="2" applyFont="1" applyFill="1" applyBorder="1"/>
    <xf numFmtId="44" fontId="16" fillId="4" borderId="33" xfId="2" applyFont="1" applyFill="1" applyBorder="1"/>
    <xf numFmtId="0" fontId="16" fillId="4" borderId="7" xfId="0" applyFont="1" applyFill="1" applyBorder="1" applyAlignment="1">
      <alignment horizontal="center"/>
    </xf>
    <xf numFmtId="44" fontId="16" fillId="4" borderId="23" xfId="0" applyNumberFormat="1" applyFont="1" applyFill="1" applyBorder="1"/>
    <xf numFmtId="0" fontId="6" fillId="5" borderId="2" xfId="0" applyFont="1" applyFill="1" applyBorder="1"/>
    <xf numFmtId="0" fontId="6" fillId="5" borderId="30" xfId="0" applyFont="1" applyFill="1" applyBorder="1"/>
    <xf numFmtId="0" fontId="6" fillId="5" borderId="22" xfId="0" applyFont="1" applyFill="1" applyBorder="1"/>
    <xf numFmtId="0" fontId="26" fillId="5" borderId="20" xfId="0" applyFont="1" applyFill="1" applyBorder="1"/>
    <xf numFmtId="44" fontId="6" fillId="4" borderId="1" xfId="0" applyNumberFormat="1" applyFont="1" applyFill="1" applyBorder="1"/>
    <xf numFmtId="44" fontId="6" fillId="4" borderId="1" xfId="2" applyFont="1" applyFill="1" applyBorder="1"/>
    <xf numFmtId="1" fontId="16" fillId="4" borderId="1" xfId="0" applyNumberFormat="1" applyFont="1" applyFill="1" applyBorder="1" applyAlignment="1">
      <alignment horizontal="center"/>
    </xf>
    <xf numFmtId="1" fontId="16" fillId="4" borderId="17" xfId="0" applyNumberFormat="1" applyFont="1" applyFill="1" applyBorder="1" applyAlignment="1">
      <alignment horizontal="center"/>
    </xf>
    <xf numFmtId="44" fontId="6" fillId="4" borderId="17" xfId="2" applyFont="1" applyFill="1" applyBorder="1"/>
    <xf numFmtId="44" fontId="16" fillId="4" borderId="4" xfId="2" applyFont="1" applyFill="1" applyBorder="1" applyAlignment="1">
      <alignment horizontal="center"/>
    </xf>
    <xf numFmtId="1" fontId="16" fillId="4" borderId="4" xfId="0" applyNumberFormat="1" applyFont="1" applyFill="1" applyBorder="1" applyAlignment="1">
      <alignment horizontal="center"/>
    </xf>
    <xf numFmtId="1" fontId="16" fillId="4" borderId="5" xfId="0" applyNumberFormat="1" applyFont="1" applyFill="1" applyBorder="1" applyAlignment="1">
      <alignment horizontal="center"/>
    </xf>
    <xf numFmtId="44" fontId="17" fillId="4" borderId="1" xfId="0" applyNumberFormat="1" applyFont="1" applyFill="1" applyBorder="1"/>
    <xf numFmtId="44" fontId="16" fillId="4" borderId="9" xfId="0" applyNumberFormat="1" applyFont="1" applyFill="1" applyBorder="1"/>
    <xf numFmtId="44" fontId="16" fillId="4" borderId="34" xfId="0" applyNumberFormat="1" applyFont="1" applyFill="1" applyBorder="1"/>
    <xf numFmtId="44" fontId="16" fillId="4" borderId="35" xfId="0" applyNumberFormat="1" applyFont="1" applyFill="1" applyBorder="1"/>
    <xf numFmtId="44" fontId="16" fillId="4" borderId="15" xfId="2" applyFont="1" applyFill="1" applyBorder="1" applyAlignment="1">
      <alignment horizontal="center"/>
    </xf>
    <xf numFmtId="0" fontId="16" fillId="5" borderId="36" xfId="0" applyFont="1" applyFill="1" applyBorder="1"/>
    <xf numFmtId="44" fontId="17" fillId="4" borderId="36" xfId="2" applyFont="1" applyFill="1" applyBorder="1"/>
    <xf numFmtId="0" fontId="6" fillId="5" borderId="23" xfId="0" applyFont="1" applyFill="1" applyBorder="1" applyAlignment="1">
      <alignment horizontal="center" vertical="center"/>
    </xf>
    <xf numFmtId="0" fontId="26" fillId="5" borderId="20" xfId="0" applyFont="1" applyFill="1" applyBorder="1" applyAlignment="1">
      <alignment horizontal="center"/>
    </xf>
    <xf numFmtId="0" fontId="6" fillId="3" borderId="0" xfId="0" applyFont="1" applyFill="1" applyBorder="1" applyAlignment="1">
      <alignment horizontal="center"/>
    </xf>
    <xf numFmtId="44" fontId="26" fillId="3" borderId="0" xfId="0" applyNumberFormat="1" applyFont="1" applyFill="1" applyBorder="1"/>
    <xf numFmtId="44" fontId="4" fillId="3" borderId="0" xfId="0" applyNumberFormat="1" applyFont="1" applyFill="1" applyBorder="1"/>
    <xf numFmtId="44" fontId="26" fillId="3" borderId="0" xfId="2" applyFont="1" applyFill="1" applyBorder="1" applyAlignment="1">
      <alignment horizontal="center"/>
    </xf>
    <xf numFmtId="43" fontId="16" fillId="4" borderId="36" xfId="1" applyFont="1" applyFill="1" applyBorder="1" applyAlignment="1"/>
    <xf numFmtId="0" fontId="6" fillId="5" borderId="7" xfId="0" applyFont="1" applyFill="1" applyBorder="1" applyAlignment="1">
      <alignment horizontal="center"/>
    </xf>
    <xf numFmtId="44" fontId="26" fillId="4" borderId="8" xfId="0" applyNumberFormat="1" applyFont="1" applyFill="1" applyBorder="1"/>
    <xf numFmtId="1" fontId="6" fillId="4" borderId="36" xfId="0" applyNumberFormat="1" applyFont="1" applyFill="1" applyBorder="1" applyAlignment="1">
      <alignment horizontal="center"/>
    </xf>
    <xf numFmtId="44" fontId="26" fillId="5" borderId="6" xfId="0" applyNumberFormat="1" applyFont="1" applyFill="1" applyBorder="1"/>
    <xf numFmtId="44" fontId="26" fillId="4" borderId="8" xfId="2" applyFont="1" applyFill="1" applyBorder="1" applyAlignment="1">
      <alignment horizontal="center"/>
    </xf>
    <xf numFmtId="0" fontId="26" fillId="5" borderId="37" xfId="0" applyFont="1" applyFill="1" applyBorder="1" applyAlignment="1">
      <alignment horizontal="center"/>
    </xf>
    <xf numFmtId="9" fontId="26" fillId="4" borderId="37" xfId="3" applyFont="1" applyFill="1" applyBorder="1" applyAlignment="1">
      <alignment horizontal="center"/>
    </xf>
    <xf numFmtId="9" fontId="26" fillId="4" borderId="38" xfId="3" applyFont="1" applyFill="1" applyBorder="1" applyAlignment="1">
      <alignment horizontal="center"/>
    </xf>
    <xf numFmtId="0" fontId="26" fillId="5" borderId="1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6"/>
  <sheetViews>
    <sheetView workbookViewId="0">
      <selection activeCell="B32" sqref="B32"/>
    </sheetView>
  </sheetViews>
  <sheetFormatPr defaultRowHeight="12.75" x14ac:dyDescent="0.2"/>
  <cols>
    <col min="1" max="1" width="39.5703125" customWidth="1"/>
    <col min="2" max="2" width="17.85546875" style="6" customWidth="1"/>
  </cols>
  <sheetData>
    <row r="1" spans="1:1" x14ac:dyDescent="0.2">
      <c r="A1" t="s">
        <v>0</v>
      </c>
    </row>
    <row r="2" spans="1:1" x14ac:dyDescent="0.2">
      <c r="A2" t="s">
        <v>1</v>
      </c>
    </row>
    <row r="3" spans="1:1" x14ac:dyDescent="0.2">
      <c r="A3" t="s">
        <v>2</v>
      </c>
    </row>
    <row r="4" spans="1:1" x14ac:dyDescent="0.2">
      <c r="A4" t="s">
        <v>3</v>
      </c>
    </row>
    <row r="6" spans="1:1" x14ac:dyDescent="0.2">
      <c r="A6" t="s">
        <v>4</v>
      </c>
    </row>
    <row r="7" spans="1:1" x14ac:dyDescent="0.2">
      <c r="A7" t="s">
        <v>5</v>
      </c>
    </row>
    <row r="9" spans="1:1" x14ac:dyDescent="0.2">
      <c r="A9" t="s">
        <v>6</v>
      </c>
    </row>
    <row r="10" spans="1:1" x14ac:dyDescent="0.2">
      <c r="A10" t="s">
        <v>7</v>
      </c>
    </row>
    <row r="11" spans="1:1" x14ac:dyDescent="0.2">
      <c r="A11" t="s">
        <v>8</v>
      </c>
    </row>
    <row r="13" spans="1:1" x14ac:dyDescent="0.2">
      <c r="A13" t="s">
        <v>9</v>
      </c>
    </row>
    <row r="14" spans="1:1" x14ac:dyDescent="0.2">
      <c r="A14" t="s">
        <v>10</v>
      </c>
    </row>
    <row r="16" spans="1:1" x14ac:dyDescent="0.2">
      <c r="A16" t="s">
        <v>11</v>
      </c>
    </row>
    <row r="17" spans="1:2" x14ac:dyDescent="0.2">
      <c r="A17" t="s">
        <v>12</v>
      </c>
    </row>
    <row r="18" spans="1:2" ht="13.5" thickBot="1" x14ac:dyDescent="0.25"/>
    <row r="19" spans="1:2" x14ac:dyDescent="0.2">
      <c r="A19" s="132" t="s">
        <v>13</v>
      </c>
      <c r="B19" s="245">
        <v>1.5</v>
      </c>
    </row>
    <row r="20" spans="1:2" x14ac:dyDescent="0.2">
      <c r="A20" s="132" t="s">
        <v>14</v>
      </c>
      <c r="B20" s="246">
        <v>40</v>
      </c>
    </row>
    <row r="21" spans="1:2" ht="13.5" thickBot="1" x14ac:dyDescent="0.25">
      <c r="A21" s="132" t="s">
        <v>15</v>
      </c>
      <c r="B21" s="247">
        <v>12</v>
      </c>
    </row>
    <row r="23" spans="1:2" x14ac:dyDescent="0.2">
      <c r="A23" s="132" t="s">
        <v>16</v>
      </c>
      <c r="B23" s="6">
        <f>'Results '!C23</f>
        <v>40</v>
      </c>
    </row>
    <row r="24" spans="1:2" x14ac:dyDescent="0.2">
      <c r="A24" s="132" t="s">
        <v>17</v>
      </c>
      <c r="B24" s="6">
        <v>50</v>
      </c>
    </row>
    <row r="25" spans="1:2" ht="13.5" thickBot="1" x14ac:dyDescent="0.25"/>
    <row r="26" spans="1:2" ht="13.5" thickBot="1" x14ac:dyDescent="0.25">
      <c r="A26" s="137" t="s">
        <v>18</v>
      </c>
      <c r="B26" s="135">
        <v>0.5</v>
      </c>
    </row>
    <row r="27" spans="1:2" ht="13.5" thickBot="1" x14ac:dyDescent="0.25">
      <c r="A27" s="140" t="s">
        <v>19</v>
      </c>
      <c r="B27" s="136">
        <v>1</v>
      </c>
    </row>
    <row r="29" spans="1:2" x14ac:dyDescent="0.2">
      <c r="A29" t="s">
        <v>20</v>
      </c>
      <c r="B29" s="44">
        <v>599.99</v>
      </c>
    </row>
    <row r="30" spans="1:2" x14ac:dyDescent="0.2">
      <c r="A30" t="s">
        <v>21</v>
      </c>
      <c r="B30" s="10">
        <v>3.9E-2</v>
      </c>
    </row>
    <row r="31" spans="1:2" x14ac:dyDescent="0.2">
      <c r="A31" t="s">
        <v>22</v>
      </c>
    </row>
    <row r="32" spans="1:2" x14ac:dyDescent="0.2">
      <c r="A32" t="s">
        <v>23</v>
      </c>
    </row>
    <row r="33" spans="1:1" x14ac:dyDescent="0.2">
      <c r="A33" t="s">
        <v>24</v>
      </c>
    </row>
    <row r="34" spans="1:1" x14ac:dyDescent="0.2">
      <c r="A34" t="s">
        <v>25</v>
      </c>
    </row>
    <row r="35" spans="1:1" x14ac:dyDescent="0.2">
      <c r="A35" t="s">
        <v>26</v>
      </c>
    </row>
    <row r="36" spans="1:1" x14ac:dyDescent="0.2">
      <c r="A36" t="s">
        <v>27</v>
      </c>
    </row>
  </sheetData>
  <phoneticPr fontId="0" type="noConversion"/>
  <pageMargins left="0.75" right="0.75" top="1" bottom="1" header="0.5" footer="0.5"/>
  <headerFooter alignWithMargins="0"/>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topLeftCell="A7" workbookViewId="0">
      <selection activeCell="A17" sqref="A1:IV65536"/>
    </sheetView>
  </sheetViews>
  <sheetFormatPr defaultRowHeight="12.75" x14ac:dyDescent="0.2"/>
  <cols>
    <col min="1" max="1" width="42.28515625" customWidth="1"/>
    <col min="2" max="2" width="9.7109375" customWidth="1"/>
  </cols>
  <sheetData>
    <row r="1" spans="1:5" ht="26.25" customHeight="1" x14ac:dyDescent="0.2">
      <c r="A1" s="61" t="s">
        <v>255</v>
      </c>
      <c r="E1" s="6">
        <f>SUM(E3:E18)</f>
        <v>7.2300000000000013</v>
      </c>
    </row>
    <row r="2" spans="1:5" ht="26.25" customHeight="1" x14ac:dyDescent="0.2">
      <c r="A2" t="s">
        <v>236</v>
      </c>
      <c r="B2" s="6" t="s">
        <v>237</v>
      </c>
      <c r="C2" t="s">
        <v>238</v>
      </c>
      <c r="D2" t="s">
        <v>239</v>
      </c>
      <c r="E2" t="s">
        <v>240</v>
      </c>
    </row>
    <row r="3" spans="1:5" s="60" customFormat="1" ht="39.75" customHeight="1" x14ac:dyDescent="0.2">
      <c r="A3" s="59" t="s">
        <v>256</v>
      </c>
      <c r="B3" s="12">
        <v>1</v>
      </c>
      <c r="C3" s="12">
        <v>1</v>
      </c>
      <c r="D3" s="12">
        <v>0.6</v>
      </c>
      <c r="E3" s="12">
        <f>(B3*C3)*D3</f>
        <v>0.6</v>
      </c>
    </row>
    <row r="4" spans="1:5" s="60" customFormat="1" ht="23.25" customHeight="1" x14ac:dyDescent="0.2">
      <c r="A4" s="59" t="s">
        <v>257</v>
      </c>
      <c r="B4" s="12">
        <v>1</v>
      </c>
      <c r="C4" s="12">
        <v>1</v>
      </c>
      <c r="D4" s="12">
        <v>0.3</v>
      </c>
      <c r="E4" s="12">
        <f t="shared" ref="E4:E18" si="0">(B4*C4)*D4</f>
        <v>0.3</v>
      </c>
    </row>
    <row r="5" spans="1:5" s="60" customFormat="1" ht="23.25" customHeight="1" x14ac:dyDescent="0.2">
      <c r="A5" s="59" t="s">
        <v>258</v>
      </c>
      <c r="B5" s="12">
        <v>1</v>
      </c>
      <c r="C5" s="12">
        <v>1</v>
      </c>
      <c r="D5" s="12">
        <v>0.1</v>
      </c>
      <c r="E5" s="12">
        <f t="shared" si="0"/>
        <v>0.1</v>
      </c>
    </row>
    <row r="6" spans="1:5" s="60" customFormat="1" ht="23.25" customHeight="1" x14ac:dyDescent="0.2">
      <c r="A6" s="59" t="s">
        <v>259</v>
      </c>
      <c r="B6" s="12">
        <v>4</v>
      </c>
      <c r="C6" s="12">
        <v>1</v>
      </c>
      <c r="D6" s="12">
        <v>0.2</v>
      </c>
      <c r="E6" s="12">
        <f t="shared" si="0"/>
        <v>0.8</v>
      </c>
    </row>
    <row r="7" spans="1:5" s="60" customFormat="1" ht="23.25" customHeight="1" x14ac:dyDescent="0.2">
      <c r="A7" s="59" t="s">
        <v>260</v>
      </c>
      <c r="B7" s="12">
        <v>4</v>
      </c>
      <c r="C7" s="12">
        <v>0.8</v>
      </c>
      <c r="D7" s="12">
        <v>0.2</v>
      </c>
      <c r="E7" s="12">
        <f t="shared" si="0"/>
        <v>0.64000000000000012</v>
      </c>
    </row>
    <row r="8" spans="1:5" s="60" customFormat="1" ht="27.75" customHeight="1" x14ac:dyDescent="0.2">
      <c r="A8" s="59" t="s">
        <v>261</v>
      </c>
      <c r="B8" s="12">
        <v>4</v>
      </c>
      <c r="C8" s="12">
        <v>1</v>
      </c>
      <c r="D8" s="12">
        <v>0.4</v>
      </c>
      <c r="E8" s="12">
        <f t="shared" si="0"/>
        <v>1.6</v>
      </c>
    </row>
    <row r="9" spans="1:5" s="60" customFormat="1" ht="23.25" customHeight="1" x14ac:dyDescent="0.2">
      <c r="A9" s="59" t="s">
        <v>262</v>
      </c>
      <c r="B9" s="12">
        <v>16</v>
      </c>
      <c r="C9" s="12">
        <v>1</v>
      </c>
      <c r="D9" s="12">
        <v>0.1</v>
      </c>
      <c r="E9" s="12">
        <f t="shared" si="0"/>
        <v>1.6</v>
      </c>
    </row>
    <row r="10" spans="1:5" s="60" customFormat="1" ht="23.25" customHeight="1" x14ac:dyDescent="0.2">
      <c r="A10" s="59" t="s">
        <v>263</v>
      </c>
      <c r="B10" s="12">
        <v>1</v>
      </c>
      <c r="C10" s="12">
        <v>0.5</v>
      </c>
      <c r="D10" s="12">
        <v>0.3</v>
      </c>
      <c r="E10" s="12">
        <f t="shared" si="0"/>
        <v>0.15</v>
      </c>
    </row>
    <row r="11" spans="1:5" s="60" customFormat="1" ht="23.25" customHeight="1" x14ac:dyDescent="0.2">
      <c r="A11" s="59" t="s">
        <v>264</v>
      </c>
      <c r="B11" s="12">
        <v>1</v>
      </c>
      <c r="C11" s="12">
        <v>0.2</v>
      </c>
      <c r="D11" s="12">
        <v>0.6</v>
      </c>
      <c r="E11" s="12">
        <f t="shared" si="0"/>
        <v>0.12</v>
      </c>
    </row>
    <row r="12" spans="1:5" s="60" customFormat="1" ht="23.25" customHeight="1" x14ac:dyDescent="0.2">
      <c r="A12" s="59" t="s">
        <v>265</v>
      </c>
      <c r="B12" s="12">
        <v>1</v>
      </c>
      <c r="C12" s="12">
        <v>0.2</v>
      </c>
      <c r="D12" s="12">
        <v>0.6</v>
      </c>
      <c r="E12" s="12">
        <f t="shared" si="0"/>
        <v>0.12</v>
      </c>
    </row>
    <row r="13" spans="1:5" s="60" customFormat="1" ht="31.5" customHeight="1" x14ac:dyDescent="0.2">
      <c r="A13" s="59" t="s">
        <v>266</v>
      </c>
      <c r="B13" s="12">
        <v>4</v>
      </c>
      <c r="C13" s="12">
        <v>0.2</v>
      </c>
      <c r="D13" s="12">
        <v>0.3</v>
      </c>
      <c r="E13" s="12">
        <f t="shared" si="0"/>
        <v>0.24</v>
      </c>
    </row>
    <row r="14" spans="1:5" s="60" customFormat="1" ht="30" customHeight="1" x14ac:dyDescent="0.2">
      <c r="A14" s="59" t="s">
        <v>267</v>
      </c>
      <c r="B14" s="12">
        <v>4</v>
      </c>
      <c r="C14" s="12">
        <v>0.2</v>
      </c>
      <c r="D14" s="12">
        <v>0.3</v>
      </c>
      <c r="E14" s="12">
        <f t="shared" si="0"/>
        <v>0.24</v>
      </c>
    </row>
    <row r="15" spans="1:5" s="60" customFormat="1" ht="23.25" customHeight="1" x14ac:dyDescent="0.2">
      <c r="A15" s="59" t="s">
        <v>268</v>
      </c>
      <c r="B15" s="12">
        <v>1</v>
      </c>
      <c r="C15" s="12">
        <v>0.2</v>
      </c>
      <c r="D15" s="12">
        <v>0.3</v>
      </c>
      <c r="E15" s="12">
        <f t="shared" si="0"/>
        <v>0.06</v>
      </c>
    </row>
    <row r="16" spans="1:5" s="60" customFormat="1" ht="23.25" customHeight="1" x14ac:dyDescent="0.2">
      <c r="A16" s="59" t="s">
        <v>269</v>
      </c>
      <c r="B16" s="12">
        <v>1</v>
      </c>
      <c r="C16" s="12">
        <v>0.2</v>
      </c>
      <c r="D16" s="12">
        <v>0.5</v>
      </c>
      <c r="E16" s="12">
        <f t="shared" si="0"/>
        <v>0.1</v>
      </c>
    </row>
    <row r="17" spans="1:5" s="60" customFormat="1" ht="23.25" customHeight="1" x14ac:dyDescent="0.2">
      <c r="A17" s="59" t="s">
        <v>270</v>
      </c>
      <c r="B17" s="12">
        <v>1</v>
      </c>
      <c r="C17" s="12">
        <v>0.2</v>
      </c>
      <c r="D17" s="12">
        <v>2</v>
      </c>
      <c r="E17" s="12">
        <f t="shared" si="0"/>
        <v>0.4</v>
      </c>
    </row>
    <row r="18" spans="1:5" s="60" customFormat="1" ht="23.25" customHeight="1" x14ac:dyDescent="0.2">
      <c r="A18" s="59" t="s">
        <v>271</v>
      </c>
      <c r="B18" s="12">
        <v>1</v>
      </c>
      <c r="C18" s="12">
        <v>0.8</v>
      </c>
      <c r="D18" s="12">
        <v>0.2</v>
      </c>
      <c r="E18" s="12">
        <f t="shared" si="0"/>
        <v>0.16000000000000003</v>
      </c>
    </row>
    <row r="19" spans="1:5" s="60" customFormat="1" ht="23.25" customHeight="1" x14ac:dyDescent="0.2">
      <c r="A19" s="59"/>
      <c r="B19" s="12"/>
      <c r="C19" s="12"/>
      <c r="D19" s="12"/>
      <c r="E19" s="12"/>
    </row>
    <row r="20" spans="1:5" s="60" customFormat="1" ht="23.25" customHeight="1" x14ac:dyDescent="0.2">
      <c r="A20" s="59"/>
      <c r="B20" s="12"/>
      <c r="C20" s="12"/>
      <c r="D20" s="12"/>
      <c r="E20" s="12"/>
    </row>
    <row r="21" spans="1:5" x14ac:dyDescent="0.2">
      <c r="A21" s="62"/>
    </row>
    <row r="22" spans="1:5" x14ac:dyDescent="0.2">
      <c r="A22" s="62"/>
    </row>
  </sheetData>
  <phoneticPr fontId="0" type="noConversion"/>
  <printOptions gridLines="1" gridLinesSet="0"/>
  <pageMargins left="0.75" right="0.75" top="1" bottom="1" header="0.5" footer="0.5"/>
  <headerFooter alignWithMargins="0">
    <oddHeader>&amp;A</oddHeader>
    <oddFooter>Page &amp;P</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topLeftCell="B19" workbookViewId="0">
      <pane ySplit="780"/>
      <selection activeCell="A19" sqref="A1:IV65536"/>
      <selection pane="bottomLeft" activeCell="C20" sqref="C20"/>
    </sheetView>
  </sheetViews>
  <sheetFormatPr defaultRowHeight="12.75" x14ac:dyDescent="0.2"/>
  <cols>
    <col min="1" max="1" width="47.85546875" customWidth="1"/>
  </cols>
  <sheetData>
    <row r="1" spans="1:5" ht="39" customHeight="1" x14ac:dyDescent="0.2">
      <c r="A1" s="61" t="s">
        <v>255</v>
      </c>
      <c r="E1" s="6">
        <f>SUM(E3:E20)</f>
        <v>18.489999999999998</v>
      </c>
    </row>
    <row r="2" spans="1:5" x14ac:dyDescent="0.2">
      <c r="A2" t="s">
        <v>236</v>
      </c>
      <c r="B2" s="6" t="s">
        <v>237</v>
      </c>
      <c r="C2" t="s">
        <v>238</v>
      </c>
      <c r="D2" t="s">
        <v>239</v>
      </c>
      <c r="E2" t="s">
        <v>240</v>
      </c>
    </row>
    <row r="3" spans="1:5" ht="24" customHeight="1" x14ac:dyDescent="0.2">
      <c r="A3" s="63" t="s">
        <v>272</v>
      </c>
      <c r="B3" s="6">
        <v>1</v>
      </c>
      <c r="C3" s="6">
        <v>1</v>
      </c>
      <c r="D3" s="6">
        <v>1.2</v>
      </c>
      <c r="E3" s="6">
        <f>(B3*C3)*D3</f>
        <v>1.2</v>
      </c>
    </row>
    <row r="4" spans="1:5" ht="24" customHeight="1" x14ac:dyDescent="0.2">
      <c r="A4" s="63" t="s">
        <v>273</v>
      </c>
      <c r="B4" s="6">
        <v>2</v>
      </c>
      <c r="C4" s="6">
        <v>0.8</v>
      </c>
      <c r="D4" s="6">
        <v>0.5</v>
      </c>
      <c r="E4" s="6">
        <f>(B4*C4)*D4</f>
        <v>0.8</v>
      </c>
    </row>
    <row r="5" spans="1:5" ht="24" customHeight="1" x14ac:dyDescent="0.2">
      <c r="A5" s="63" t="s">
        <v>274</v>
      </c>
      <c r="B5" s="6">
        <v>1</v>
      </c>
      <c r="C5" s="6">
        <v>1</v>
      </c>
      <c r="D5" s="6">
        <v>4</v>
      </c>
      <c r="E5" s="6">
        <f t="shared" ref="E5:E21" si="0">(B5*C5)*D5</f>
        <v>4</v>
      </c>
    </row>
    <row r="6" spans="1:5" ht="21.75" customHeight="1" x14ac:dyDescent="0.2">
      <c r="A6" s="63" t="s">
        <v>275</v>
      </c>
      <c r="B6" s="6">
        <v>1</v>
      </c>
      <c r="C6" s="6">
        <v>0.9</v>
      </c>
      <c r="D6" s="6">
        <v>0.5</v>
      </c>
      <c r="E6" s="6">
        <f t="shared" si="0"/>
        <v>0.45</v>
      </c>
    </row>
    <row r="7" spans="1:5" ht="25.5" customHeight="1" x14ac:dyDescent="0.2">
      <c r="A7" s="63" t="s">
        <v>276</v>
      </c>
      <c r="B7" s="6">
        <v>1</v>
      </c>
      <c r="C7" s="6">
        <v>1</v>
      </c>
      <c r="D7" s="6">
        <v>0.3</v>
      </c>
      <c r="E7" s="6">
        <f t="shared" si="0"/>
        <v>0.3</v>
      </c>
    </row>
    <row r="8" spans="1:5" ht="21.75" customHeight="1" x14ac:dyDescent="0.2">
      <c r="A8" s="63" t="s">
        <v>277</v>
      </c>
      <c r="B8" s="6">
        <v>4</v>
      </c>
      <c r="C8" s="6">
        <v>1</v>
      </c>
      <c r="D8" s="6">
        <v>0.2</v>
      </c>
      <c r="E8" s="6">
        <f t="shared" si="0"/>
        <v>0.8</v>
      </c>
    </row>
    <row r="9" spans="1:5" ht="21.75" customHeight="1" x14ac:dyDescent="0.2">
      <c r="A9" s="63" t="s">
        <v>278</v>
      </c>
      <c r="B9" s="6">
        <v>2</v>
      </c>
      <c r="C9" s="6">
        <v>1</v>
      </c>
      <c r="D9" s="6">
        <v>0.3</v>
      </c>
      <c r="E9" s="6">
        <f t="shared" si="0"/>
        <v>0.6</v>
      </c>
    </row>
    <row r="10" spans="1:5" ht="21.75" customHeight="1" x14ac:dyDescent="0.2">
      <c r="A10" s="63" t="s">
        <v>279</v>
      </c>
      <c r="B10" s="6">
        <v>2</v>
      </c>
      <c r="C10" s="6">
        <v>1</v>
      </c>
      <c r="D10" s="6">
        <v>0.3</v>
      </c>
      <c r="E10" s="6">
        <f t="shared" si="0"/>
        <v>0.6</v>
      </c>
    </row>
    <row r="11" spans="1:5" ht="21.75" customHeight="1" x14ac:dyDescent="0.2">
      <c r="A11" s="63" t="s">
        <v>280</v>
      </c>
      <c r="B11" s="6">
        <v>2</v>
      </c>
      <c r="C11" s="6">
        <v>1</v>
      </c>
      <c r="D11" s="6">
        <v>0.3</v>
      </c>
      <c r="E11" s="6">
        <f t="shared" si="0"/>
        <v>0.6</v>
      </c>
    </row>
    <row r="12" spans="1:5" ht="21.75" customHeight="1" x14ac:dyDescent="0.2">
      <c r="A12" s="63" t="s">
        <v>281</v>
      </c>
      <c r="B12" s="6">
        <v>1</v>
      </c>
      <c r="C12" s="6">
        <v>1</v>
      </c>
      <c r="D12" s="6">
        <v>1</v>
      </c>
      <c r="E12" s="6">
        <f t="shared" si="0"/>
        <v>1</v>
      </c>
    </row>
    <row r="13" spans="1:5" ht="21.75" customHeight="1" x14ac:dyDescent="0.2">
      <c r="A13" s="63" t="s">
        <v>282</v>
      </c>
      <c r="B13" s="6">
        <v>1</v>
      </c>
      <c r="C13" s="6">
        <v>0.8</v>
      </c>
      <c r="D13" s="6">
        <v>0.5</v>
      </c>
      <c r="E13" s="6">
        <f t="shared" si="0"/>
        <v>0.4</v>
      </c>
    </row>
    <row r="14" spans="1:5" ht="21.75" customHeight="1" x14ac:dyDescent="0.2">
      <c r="A14" s="63" t="s">
        <v>283</v>
      </c>
      <c r="B14" s="6">
        <v>2</v>
      </c>
      <c r="C14" s="6">
        <v>0.7</v>
      </c>
      <c r="D14" s="6">
        <v>0.5</v>
      </c>
      <c r="E14" s="6">
        <f t="shared" si="0"/>
        <v>0.7</v>
      </c>
    </row>
    <row r="15" spans="1:5" ht="21.75" customHeight="1" x14ac:dyDescent="0.2">
      <c r="A15" s="63" t="s">
        <v>284</v>
      </c>
      <c r="B15" s="6">
        <v>1</v>
      </c>
      <c r="C15" s="6">
        <v>0.5</v>
      </c>
      <c r="D15" s="6">
        <v>0.6</v>
      </c>
      <c r="E15" s="6">
        <f t="shared" si="0"/>
        <v>0.3</v>
      </c>
    </row>
    <row r="16" spans="1:5" ht="21.75" customHeight="1" x14ac:dyDescent="0.2">
      <c r="A16" s="63" t="s">
        <v>285</v>
      </c>
      <c r="B16" s="6">
        <v>1</v>
      </c>
      <c r="C16" s="6">
        <v>0.9</v>
      </c>
      <c r="D16" s="6">
        <v>0.2</v>
      </c>
      <c r="E16" s="6">
        <f t="shared" si="0"/>
        <v>0.18000000000000002</v>
      </c>
    </row>
    <row r="17" spans="1:5" ht="21.75" customHeight="1" x14ac:dyDescent="0.2">
      <c r="A17" s="63" t="s">
        <v>286</v>
      </c>
      <c r="B17" s="6">
        <v>1</v>
      </c>
      <c r="C17" s="6">
        <v>0.8</v>
      </c>
      <c r="D17" s="6">
        <v>1.2</v>
      </c>
      <c r="E17" s="6">
        <f t="shared" si="0"/>
        <v>0.96</v>
      </c>
    </row>
    <row r="18" spans="1:5" ht="21.75" customHeight="1" x14ac:dyDescent="0.2">
      <c r="A18" s="63" t="s">
        <v>287</v>
      </c>
      <c r="B18" s="6">
        <v>6</v>
      </c>
      <c r="C18" s="6">
        <v>1</v>
      </c>
      <c r="D18" s="6">
        <v>0.2</v>
      </c>
      <c r="E18" s="6">
        <f t="shared" si="0"/>
        <v>1.2000000000000002</v>
      </c>
    </row>
    <row r="19" spans="1:5" ht="21.75" customHeight="1" x14ac:dyDescent="0.2">
      <c r="A19" s="63" t="s">
        <v>288</v>
      </c>
      <c r="B19" s="6">
        <v>1</v>
      </c>
      <c r="C19" s="6">
        <v>0.4</v>
      </c>
      <c r="D19" s="6">
        <v>8</v>
      </c>
      <c r="E19" s="6">
        <f t="shared" si="0"/>
        <v>3.2</v>
      </c>
    </row>
    <row r="20" spans="1:5" ht="21.75" customHeight="1" x14ac:dyDescent="0.2">
      <c r="A20" s="63" t="s">
        <v>289</v>
      </c>
      <c r="B20" s="6">
        <v>1</v>
      </c>
      <c r="C20" s="6">
        <v>1</v>
      </c>
      <c r="D20" s="6">
        <v>1.2</v>
      </c>
      <c r="E20" s="6">
        <f t="shared" si="0"/>
        <v>1.2</v>
      </c>
    </row>
    <row r="21" spans="1:5" ht="21.75" customHeight="1" x14ac:dyDescent="0.2">
      <c r="A21" s="63" t="s">
        <v>290</v>
      </c>
      <c r="B21" s="6">
        <v>1</v>
      </c>
      <c r="C21" s="6">
        <v>1</v>
      </c>
      <c r="D21" s="6">
        <v>0.5</v>
      </c>
      <c r="E21" s="6">
        <f t="shared" si="0"/>
        <v>0.5</v>
      </c>
    </row>
    <row r="22" spans="1:5" ht="21.75" customHeight="1" x14ac:dyDescent="0.2">
      <c r="A22" s="63" t="s">
        <v>291</v>
      </c>
      <c r="B22" s="6">
        <v>1</v>
      </c>
      <c r="C22" s="6">
        <v>0.4</v>
      </c>
      <c r="D22" s="6">
        <v>1</v>
      </c>
      <c r="E22" s="6">
        <f>(B22*C22)*D22</f>
        <v>0.4</v>
      </c>
    </row>
    <row r="23" spans="1:5" ht="21.75" customHeight="1" x14ac:dyDescent="0.2">
      <c r="A23" s="63" t="s">
        <v>292</v>
      </c>
      <c r="B23" s="6">
        <v>1</v>
      </c>
      <c r="C23" s="6">
        <v>0.2</v>
      </c>
      <c r="D23" s="6">
        <v>4</v>
      </c>
      <c r="E23" s="6">
        <f>(B23*C23)*D23</f>
        <v>0.8</v>
      </c>
    </row>
    <row r="24" spans="1:5" ht="21.75" customHeight="1" x14ac:dyDescent="0.2">
      <c r="A24" s="63" t="s">
        <v>293</v>
      </c>
      <c r="B24" s="6">
        <v>1</v>
      </c>
      <c r="C24" s="6">
        <v>1</v>
      </c>
      <c r="D24" s="6">
        <v>0.3</v>
      </c>
      <c r="E24" s="6">
        <f>(B24*C24)*D24</f>
        <v>0.3</v>
      </c>
    </row>
    <row r="25" spans="1:5" x14ac:dyDescent="0.2">
      <c r="A25" s="63"/>
    </row>
    <row r="26" spans="1:5" x14ac:dyDescent="0.2">
      <c r="A26" s="63"/>
    </row>
    <row r="27" spans="1:5" x14ac:dyDescent="0.2">
      <c r="A27" s="63"/>
    </row>
  </sheetData>
  <phoneticPr fontId="0" type="noConversion"/>
  <printOptions gridLines="1" gridLinesSet="0"/>
  <pageMargins left="0.75" right="0.75" top="1" bottom="1" header="0.5" footer="0.5"/>
  <headerFooter alignWithMargins="0">
    <oddHeader>&amp;A</oddHeader>
    <oddFooter>Page &amp;P</oddFooter>
  </headerFooter>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3"/>
  <sheetViews>
    <sheetView workbookViewId="0"/>
  </sheetViews>
  <sheetFormatPr defaultRowHeight="12.75" x14ac:dyDescent="0.2"/>
  <cols>
    <col min="1" max="1" width="7.42578125" style="6" customWidth="1"/>
    <col min="2" max="2" width="16.5703125" style="8" customWidth="1"/>
    <col min="3" max="3" width="17.7109375" style="8" customWidth="1"/>
    <col min="4" max="17" width="14.42578125" style="8" customWidth="1"/>
    <col min="18" max="26" width="14.5703125" style="8" customWidth="1"/>
    <col min="27" max="27" width="15.5703125" style="8" customWidth="1"/>
    <col min="28" max="38" width="14.5703125" style="8" customWidth="1"/>
    <col min="39" max="39" width="17.28515625" style="8" customWidth="1"/>
    <col min="40" max="50" width="14.5703125" style="8" customWidth="1"/>
    <col min="51" max="51" width="15.85546875" style="8" customWidth="1"/>
    <col min="52" max="56" width="14.5703125" style="8" customWidth="1"/>
    <col min="57" max="62" width="15.42578125" style="8" customWidth="1"/>
    <col min="63" max="63" width="16.85546875" style="8" customWidth="1"/>
  </cols>
  <sheetData>
    <row r="1" spans="1:83" ht="25.5" x14ac:dyDescent="0.2">
      <c r="C1" s="106" t="s">
        <v>63</v>
      </c>
      <c r="D1" s="10">
        <f>'Results '!A28</f>
        <v>3.9E-2</v>
      </c>
      <c r="E1" s="106" t="s">
        <v>294</v>
      </c>
      <c r="F1" s="103">
        <f>D1/12</f>
        <v>3.2499999999999999E-3</v>
      </c>
      <c r="H1" s="107"/>
      <c r="O1" s="8">
        <f>SUM(D2:O2)</f>
        <v>6578091.3799890457</v>
      </c>
      <c r="AA1" s="8">
        <f>SUM(P2:AA2)</f>
        <v>12478022.191044543</v>
      </c>
      <c r="AM1" s="8">
        <f>SUM(AB2:AM2)</f>
        <v>12973458.726778787</v>
      </c>
      <c r="AY1" s="8">
        <f>SUM(AN2:AY2)</f>
        <v>13488566.437734742</v>
      </c>
      <c r="BK1" s="8">
        <f>SUM(AZ2:BK2)</f>
        <v>14024126.362666499</v>
      </c>
    </row>
    <row r="2" spans="1:83" x14ac:dyDescent="0.2">
      <c r="C2" s="105" t="s">
        <v>295</v>
      </c>
      <c r="D2" s="8">
        <f>SUM(D4:D65)</f>
        <v>83333.333333333328</v>
      </c>
      <c r="E2" s="8">
        <f t="shared" ref="E2:T2" si="0">SUM(E4:E65)</f>
        <v>166937.5</v>
      </c>
      <c r="F2" s="8">
        <f t="shared" si="0"/>
        <v>250813.38020833331</v>
      </c>
      <c r="G2" s="8">
        <f t="shared" si="0"/>
        <v>334961.85702734371</v>
      </c>
      <c r="H2" s="8">
        <f t="shared" si="0"/>
        <v>419383.81639601593</v>
      </c>
      <c r="I2" s="8">
        <f t="shared" si="0"/>
        <v>504080.14713263628</v>
      </c>
      <c r="J2" s="8">
        <f t="shared" si="0"/>
        <v>589051.74094415072</v>
      </c>
      <c r="K2" s="8">
        <f t="shared" si="0"/>
        <v>674299.49243555253</v>
      </c>
      <c r="L2" s="8">
        <f t="shared" si="0"/>
        <v>759824.29911930137</v>
      </c>
      <c r="M2" s="8">
        <f t="shared" si="0"/>
        <v>845627.06142477237</v>
      </c>
      <c r="N2" s="8">
        <f t="shared" si="0"/>
        <v>931708.68270773615</v>
      </c>
      <c r="O2" s="8">
        <f t="shared" si="0"/>
        <v>1018070.0692598696</v>
      </c>
      <c r="P2" s="8">
        <f t="shared" si="0"/>
        <v>1021378.7969849642</v>
      </c>
      <c r="Q2" s="8">
        <f t="shared" si="0"/>
        <v>1024698.2780751653</v>
      </c>
      <c r="R2" s="8">
        <f t="shared" si="0"/>
        <v>1028028.5474789096</v>
      </c>
      <c r="S2" s="8">
        <f t="shared" si="0"/>
        <v>1031369.6402582161</v>
      </c>
      <c r="T2" s="8">
        <f t="shared" si="0"/>
        <v>1034721.5915890555</v>
      </c>
      <c r="U2" s="8">
        <f t="shared" ref="U2:AJ2" si="1">SUM(U4:U65)</f>
        <v>1038084.4367617196</v>
      </c>
      <c r="V2" s="8">
        <f t="shared" si="1"/>
        <v>1041458.2111811952</v>
      </c>
      <c r="W2" s="8">
        <f t="shared" si="1"/>
        <v>1044842.9503675341</v>
      </c>
      <c r="X2" s="8">
        <f t="shared" si="1"/>
        <v>1048238.6899562285</v>
      </c>
      <c r="Y2" s="8">
        <f t="shared" si="1"/>
        <v>1051645.4656985861</v>
      </c>
      <c r="Z2" s="8">
        <f t="shared" si="1"/>
        <v>1055063.3134621065</v>
      </c>
      <c r="AA2" s="8">
        <f t="shared" si="1"/>
        <v>1058492.2692308584</v>
      </c>
      <c r="AB2" s="8">
        <f t="shared" si="1"/>
        <v>1061932.3691058587</v>
      </c>
      <c r="AC2" s="8">
        <f t="shared" si="1"/>
        <v>1065383.6493054526</v>
      </c>
      <c r="AD2" s="8">
        <f t="shared" si="1"/>
        <v>1068846.1461656953</v>
      </c>
      <c r="AE2" s="8">
        <f t="shared" si="1"/>
        <v>1072319.8961407337</v>
      </c>
      <c r="AF2" s="8">
        <f t="shared" si="1"/>
        <v>1075804.9358031913</v>
      </c>
      <c r="AG2" s="8">
        <f t="shared" si="1"/>
        <v>1079301.3018445515</v>
      </c>
      <c r="AH2" s="8">
        <f t="shared" si="1"/>
        <v>1082809.0310755463</v>
      </c>
      <c r="AI2" s="8">
        <f t="shared" si="1"/>
        <v>1086328.1604265417</v>
      </c>
      <c r="AJ2" s="8">
        <f t="shared" si="1"/>
        <v>1089858.7269479281</v>
      </c>
      <c r="AK2" s="8">
        <f t="shared" ref="AK2:AZ2" si="2">SUM(AK4:AK65)</f>
        <v>1093400.7678105088</v>
      </c>
      <c r="AL2" s="8">
        <f t="shared" si="2"/>
        <v>1096954.3203058927</v>
      </c>
      <c r="AM2" s="8">
        <f t="shared" si="2"/>
        <v>1100519.4218468869</v>
      </c>
      <c r="AN2" s="8">
        <f t="shared" si="2"/>
        <v>1104096.1099678893</v>
      </c>
      <c r="AO2" s="8">
        <f t="shared" si="2"/>
        <v>1107684.4223252849</v>
      </c>
      <c r="AP2" s="8">
        <f t="shared" si="2"/>
        <v>1111284.3966978421</v>
      </c>
      <c r="AQ2" s="8">
        <f t="shared" si="2"/>
        <v>1114896.07098711</v>
      </c>
      <c r="AR2" s="8">
        <f t="shared" si="2"/>
        <v>1118519.4832178182</v>
      </c>
      <c r="AS2" s="8">
        <f t="shared" si="2"/>
        <v>1122154.6715382759</v>
      </c>
      <c r="AT2" s="8">
        <f t="shared" si="2"/>
        <v>1125801.6742207753</v>
      </c>
      <c r="AU2" s="8">
        <f t="shared" si="2"/>
        <v>1129460.5296619928</v>
      </c>
      <c r="AV2" s="8">
        <f t="shared" si="2"/>
        <v>1133131.2763833941</v>
      </c>
      <c r="AW2" s="8">
        <f t="shared" si="2"/>
        <v>1136813.9530316403</v>
      </c>
      <c r="AX2" s="8">
        <f t="shared" si="2"/>
        <v>1140508.5983789931</v>
      </c>
      <c r="AY2" s="8">
        <f t="shared" si="2"/>
        <v>1144215.2513237249</v>
      </c>
      <c r="AZ2" s="8">
        <f t="shared" si="2"/>
        <v>1147933.9508905269</v>
      </c>
      <c r="BA2" s="8">
        <f t="shared" ref="BA2:BK2" si="3">SUM(BA4:BA65)</f>
        <v>1151664.7362309212</v>
      </c>
      <c r="BB2" s="8">
        <f t="shared" si="3"/>
        <v>1155407.6466236718</v>
      </c>
      <c r="BC2" s="8">
        <f t="shared" si="3"/>
        <v>1159162.7214751986</v>
      </c>
      <c r="BD2" s="8">
        <f t="shared" si="3"/>
        <v>1162930.0003199929</v>
      </c>
      <c r="BE2" s="8">
        <f t="shared" si="3"/>
        <v>1166709.5228210329</v>
      </c>
      <c r="BF2" s="8">
        <f t="shared" si="3"/>
        <v>1170501.3287702012</v>
      </c>
      <c r="BG2" s="8">
        <f t="shared" si="3"/>
        <v>1174305.4580887046</v>
      </c>
      <c r="BH2" s="8">
        <f t="shared" si="3"/>
        <v>1178121.9508274929</v>
      </c>
      <c r="BI2" s="8">
        <f t="shared" si="3"/>
        <v>1181950.8471676821</v>
      </c>
      <c r="BJ2" s="8">
        <f t="shared" si="3"/>
        <v>1185792.187420977</v>
      </c>
      <c r="BK2" s="8">
        <f t="shared" si="3"/>
        <v>1189646.0120300951</v>
      </c>
    </row>
    <row r="3" spans="1:83" x14ac:dyDescent="0.2">
      <c r="A3" s="6" t="s">
        <v>166</v>
      </c>
      <c r="B3" s="8" t="s">
        <v>296</v>
      </c>
      <c r="C3" s="8" t="s">
        <v>297</v>
      </c>
      <c r="D3" s="104">
        <v>1</v>
      </c>
      <c r="E3" s="104">
        <f>D3+1</f>
        <v>2</v>
      </c>
      <c r="F3" s="104">
        <f t="shared" ref="F3:U3" si="4">E3+1</f>
        <v>3</v>
      </c>
      <c r="G3" s="104">
        <f t="shared" si="4"/>
        <v>4</v>
      </c>
      <c r="H3" s="104">
        <f t="shared" si="4"/>
        <v>5</v>
      </c>
      <c r="I3" s="104">
        <f t="shared" si="4"/>
        <v>6</v>
      </c>
      <c r="J3" s="104">
        <f t="shared" si="4"/>
        <v>7</v>
      </c>
      <c r="K3" s="104">
        <f t="shared" si="4"/>
        <v>8</v>
      </c>
      <c r="L3" s="104">
        <f t="shared" si="4"/>
        <v>9</v>
      </c>
      <c r="M3" s="104">
        <f t="shared" si="4"/>
        <v>10</v>
      </c>
      <c r="N3" s="104">
        <f t="shared" si="4"/>
        <v>11</v>
      </c>
      <c r="O3" s="104">
        <f t="shared" si="4"/>
        <v>12</v>
      </c>
      <c r="P3" s="104">
        <f t="shared" si="4"/>
        <v>13</v>
      </c>
      <c r="Q3" s="104">
        <f t="shared" si="4"/>
        <v>14</v>
      </c>
      <c r="R3" s="104">
        <f t="shared" si="4"/>
        <v>15</v>
      </c>
      <c r="S3" s="104">
        <f t="shared" si="4"/>
        <v>16</v>
      </c>
      <c r="T3" s="104">
        <f t="shared" si="4"/>
        <v>17</v>
      </c>
      <c r="U3" s="104">
        <f t="shared" si="4"/>
        <v>18</v>
      </c>
      <c r="V3" s="104">
        <f t="shared" ref="V3:AK3" si="5">U3+1</f>
        <v>19</v>
      </c>
      <c r="W3" s="104">
        <f t="shared" si="5"/>
        <v>20</v>
      </c>
      <c r="X3" s="104">
        <f t="shared" si="5"/>
        <v>21</v>
      </c>
      <c r="Y3" s="104">
        <f t="shared" si="5"/>
        <v>22</v>
      </c>
      <c r="Z3" s="104">
        <f t="shared" si="5"/>
        <v>23</v>
      </c>
      <c r="AA3" s="104">
        <f t="shared" si="5"/>
        <v>24</v>
      </c>
      <c r="AB3" s="104">
        <f t="shared" si="5"/>
        <v>25</v>
      </c>
      <c r="AC3" s="104">
        <f t="shared" si="5"/>
        <v>26</v>
      </c>
      <c r="AD3" s="104">
        <f t="shared" si="5"/>
        <v>27</v>
      </c>
      <c r="AE3" s="104">
        <f t="shared" si="5"/>
        <v>28</v>
      </c>
      <c r="AF3" s="104">
        <f t="shared" si="5"/>
        <v>29</v>
      </c>
      <c r="AG3" s="104">
        <f t="shared" si="5"/>
        <v>30</v>
      </c>
      <c r="AH3" s="104">
        <f t="shared" si="5"/>
        <v>31</v>
      </c>
      <c r="AI3" s="104">
        <f t="shared" si="5"/>
        <v>32</v>
      </c>
      <c r="AJ3" s="104">
        <f t="shared" si="5"/>
        <v>33</v>
      </c>
      <c r="AK3" s="104">
        <f t="shared" si="5"/>
        <v>34</v>
      </c>
      <c r="AL3" s="104">
        <f t="shared" ref="AL3:BA3" si="6">AK3+1</f>
        <v>35</v>
      </c>
      <c r="AM3" s="104">
        <f t="shared" si="6"/>
        <v>36</v>
      </c>
      <c r="AN3" s="104">
        <f t="shared" si="6"/>
        <v>37</v>
      </c>
      <c r="AO3" s="104">
        <f t="shared" si="6"/>
        <v>38</v>
      </c>
      <c r="AP3" s="104">
        <f t="shared" si="6"/>
        <v>39</v>
      </c>
      <c r="AQ3" s="104">
        <f t="shared" si="6"/>
        <v>40</v>
      </c>
      <c r="AR3" s="104">
        <f t="shared" si="6"/>
        <v>41</v>
      </c>
      <c r="AS3" s="104">
        <f t="shared" si="6"/>
        <v>42</v>
      </c>
      <c r="AT3" s="104">
        <f t="shared" si="6"/>
        <v>43</v>
      </c>
      <c r="AU3" s="104">
        <f t="shared" si="6"/>
        <v>44</v>
      </c>
      <c r="AV3" s="104">
        <f t="shared" si="6"/>
        <v>45</v>
      </c>
      <c r="AW3" s="104">
        <f t="shared" si="6"/>
        <v>46</v>
      </c>
      <c r="AX3" s="104">
        <f t="shared" si="6"/>
        <v>47</v>
      </c>
      <c r="AY3" s="104">
        <f t="shared" si="6"/>
        <v>48</v>
      </c>
      <c r="AZ3" s="104">
        <f t="shared" si="6"/>
        <v>49</v>
      </c>
      <c r="BA3" s="104">
        <f t="shared" si="6"/>
        <v>50</v>
      </c>
      <c r="BB3" s="104">
        <f t="shared" ref="BB3:BK3" si="7">BA3+1</f>
        <v>51</v>
      </c>
      <c r="BC3" s="104">
        <f t="shared" si="7"/>
        <v>52</v>
      </c>
      <c r="BD3" s="104">
        <f t="shared" si="7"/>
        <v>53</v>
      </c>
      <c r="BE3" s="104">
        <f t="shared" si="7"/>
        <v>54</v>
      </c>
      <c r="BF3" s="104">
        <f t="shared" si="7"/>
        <v>55</v>
      </c>
      <c r="BG3" s="104">
        <f t="shared" si="7"/>
        <v>56</v>
      </c>
      <c r="BH3" s="104">
        <f t="shared" si="7"/>
        <v>57</v>
      </c>
      <c r="BI3" s="104">
        <f t="shared" si="7"/>
        <v>58</v>
      </c>
      <c r="BJ3" s="104">
        <f t="shared" si="7"/>
        <v>59</v>
      </c>
      <c r="BK3" s="104">
        <f t="shared" si="7"/>
        <v>60</v>
      </c>
      <c r="BL3" s="3"/>
      <c r="BM3" s="3"/>
      <c r="BN3" s="3"/>
      <c r="BO3" s="3"/>
      <c r="BP3" s="3"/>
      <c r="BQ3" s="3"/>
      <c r="BR3" s="3"/>
      <c r="BS3" s="3"/>
      <c r="BT3" s="3"/>
      <c r="BU3" s="3"/>
      <c r="BV3" s="3"/>
      <c r="BW3" s="3"/>
      <c r="BX3" s="3"/>
      <c r="BY3" s="3"/>
      <c r="BZ3" s="3"/>
      <c r="CA3" s="3"/>
      <c r="CB3" s="3"/>
      <c r="CC3" s="3"/>
      <c r="CD3" s="3"/>
      <c r="CE3" s="3"/>
    </row>
    <row r="4" spans="1:83" x14ac:dyDescent="0.2">
      <c r="A4" s="6">
        <v>1</v>
      </c>
      <c r="B4" s="8">
        <v>1000000</v>
      </c>
      <c r="C4" s="8">
        <f>B4</f>
        <v>1000000</v>
      </c>
      <c r="D4" s="8">
        <f>B$4/12</f>
        <v>83333.333333333328</v>
      </c>
      <c r="E4" s="8">
        <f t="shared" ref="E4:O4" si="8">D4</f>
        <v>83333.333333333328</v>
      </c>
      <c r="F4" s="8">
        <f t="shared" si="8"/>
        <v>83333.333333333328</v>
      </c>
      <c r="G4" s="8">
        <f t="shared" si="8"/>
        <v>83333.333333333328</v>
      </c>
      <c r="H4" s="8">
        <f t="shared" si="8"/>
        <v>83333.333333333328</v>
      </c>
      <c r="I4" s="8">
        <f t="shared" si="8"/>
        <v>83333.333333333328</v>
      </c>
      <c r="J4" s="8">
        <f t="shared" si="8"/>
        <v>83333.333333333328</v>
      </c>
      <c r="K4" s="8">
        <f t="shared" si="8"/>
        <v>83333.333333333328</v>
      </c>
      <c r="L4" s="8">
        <f t="shared" si="8"/>
        <v>83333.333333333328</v>
      </c>
      <c r="M4" s="8">
        <f t="shared" si="8"/>
        <v>83333.333333333328</v>
      </c>
      <c r="N4" s="8">
        <f t="shared" si="8"/>
        <v>83333.333333333328</v>
      </c>
      <c r="O4" s="8">
        <f t="shared" si="8"/>
        <v>83333.333333333328</v>
      </c>
    </row>
    <row r="5" spans="1:83" x14ac:dyDescent="0.2">
      <c r="A5" s="6">
        <f>A4+1</f>
        <v>2</v>
      </c>
      <c r="B5" s="8">
        <f t="shared" ref="B5:B15" si="9">B4*(1+F$1)</f>
        <v>1003250</v>
      </c>
      <c r="C5" s="8">
        <f>B5+C4</f>
        <v>2003250</v>
      </c>
      <c r="E5" s="8">
        <f>B$5/12</f>
        <v>83604.166666666672</v>
      </c>
      <c r="F5" s="8">
        <f t="shared" ref="F5:P6" si="10">$B5/12</f>
        <v>83604.166666666672</v>
      </c>
      <c r="G5" s="8">
        <f t="shared" si="10"/>
        <v>83604.166666666672</v>
      </c>
      <c r="H5" s="8">
        <f t="shared" si="10"/>
        <v>83604.166666666672</v>
      </c>
      <c r="I5" s="8">
        <f t="shared" si="10"/>
        <v>83604.166666666672</v>
      </c>
      <c r="J5" s="8">
        <f t="shared" si="10"/>
        <v>83604.166666666672</v>
      </c>
      <c r="K5" s="8">
        <f t="shared" si="10"/>
        <v>83604.166666666672</v>
      </c>
      <c r="L5" s="8">
        <f t="shared" si="10"/>
        <v>83604.166666666672</v>
      </c>
      <c r="M5" s="8">
        <f t="shared" si="10"/>
        <v>83604.166666666672</v>
      </c>
      <c r="N5" s="8">
        <f t="shared" si="10"/>
        <v>83604.166666666672</v>
      </c>
      <c r="O5" s="8">
        <f t="shared" si="10"/>
        <v>83604.166666666672</v>
      </c>
      <c r="P5" s="8">
        <f t="shared" si="10"/>
        <v>83604.166666666672</v>
      </c>
    </row>
    <row r="6" spans="1:83" x14ac:dyDescent="0.2">
      <c r="A6" s="6">
        <f t="shared" ref="A6:A21" si="11">A5+1</f>
        <v>3</v>
      </c>
      <c r="B6" s="8">
        <f t="shared" si="9"/>
        <v>1006510.5625</v>
      </c>
      <c r="C6" s="8">
        <f t="shared" ref="C6:C21" si="12">B6+C5</f>
        <v>3009760.5625</v>
      </c>
      <c r="F6" s="8">
        <f t="shared" si="10"/>
        <v>83875.880208333328</v>
      </c>
      <c r="G6" s="8">
        <f t="shared" si="10"/>
        <v>83875.880208333328</v>
      </c>
      <c r="H6" s="8">
        <f t="shared" si="10"/>
        <v>83875.880208333328</v>
      </c>
      <c r="I6" s="8">
        <f t="shared" si="10"/>
        <v>83875.880208333328</v>
      </c>
      <c r="J6" s="8">
        <f t="shared" si="10"/>
        <v>83875.880208333328</v>
      </c>
      <c r="K6" s="8">
        <f t="shared" si="10"/>
        <v>83875.880208333328</v>
      </c>
      <c r="L6" s="8">
        <f t="shared" si="10"/>
        <v>83875.880208333328</v>
      </c>
      <c r="M6" s="8">
        <f t="shared" si="10"/>
        <v>83875.880208333328</v>
      </c>
      <c r="N6" s="8">
        <f t="shared" si="10"/>
        <v>83875.880208333328</v>
      </c>
      <c r="O6" s="8">
        <f t="shared" si="10"/>
        <v>83875.880208333328</v>
      </c>
      <c r="P6" s="8">
        <f t="shared" si="10"/>
        <v>83875.880208333328</v>
      </c>
      <c r="Q6" s="8">
        <f t="shared" ref="Q6:Q17" si="13">$B6/12</f>
        <v>83875.880208333328</v>
      </c>
    </row>
    <row r="7" spans="1:83" x14ac:dyDescent="0.2">
      <c r="A7" s="6">
        <f t="shared" si="11"/>
        <v>4</v>
      </c>
      <c r="B7" s="8">
        <f t="shared" si="9"/>
        <v>1009781.721828125</v>
      </c>
      <c r="C7" s="8">
        <f t="shared" si="12"/>
        <v>4019542.284328125</v>
      </c>
      <c r="G7" s="8">
        <f t="shared" ref="G7:P7" si="14">$B7/12</f>
        <v>84148.476819010408</v>
      </c>
      <c r="H7" s="8">
        <f t="shared" si="14"/>
        <v>84148.476819010408</v>
      </c>
      <c r="I7" s="8">
        <f t="shared" si="14"/>
        <v>84148.476819010408</v>
      </c>
      <c r="J7" s="8">
        <f t="shared" si="14"/>
        <v>84148.476819010408</v>
      </c>
      <c r="K7" s="8">
        <f t="shared" si="14"/>
        <v>84148.476819010408</v>
      </c>
      <c r="L7" s="8">
        <f t="shared" si="14"/>
        <v>84148.476819010408</v>
      </c>
      <c r="M7" s="8">
        <f t="shared" si="14"/>
        <v>84148.476819010408</v>
      </c>
      <c r="N7" s="8">
        <f t="shared" si="14"/>
        <v>84148.476819010408</v>
      </c>
      <c r="O7" s="8">
        <f t="shared" si="14"/>
        <v>84148.476819010408</v>
      </c>
      <c r="P7" s="8">
        <f t="shared" si="14"/>
        <v>84148.476819010408</v>
      </c>
      <c r="Q7" s="8">
        <f t="shared" si="13"/>
        <v>84148.476819010408</v>
      </c>
      <c r="R7" s="8">
        <f t="shared" ref="R7:R18" si="15">$B7/12</f>
        <v>84148.476819010408</v>
      </c>
    </row>
    <row r="8" spans="1:83" x14ac:dyDescent="0.2">
      <c r="A8" s="6">
        <f t="shared" si="11"/>
        <v>5</v>
      </c>
      <c r="B8" s="8">
        <f t="shared" si="9"/>
        <v>1013063.5124240663</v>
      </c>
      <c r="C8" s="8">
        <f t="shared" si="12"/>
        <v>5032605.7967521911</v>
      </c>
      <c r="H8" s="8">
        <f t="shared" ref="H8:P8" si="16">$B8/12</f>
        <v>84421.959368672193</v>
      </c>
      <c r="I8" s="8">
        <f t="shared" si="16"/>
        <v>84421.959368672193</v>
      </c>
      <c r="J8" s="8">
        <f t="shared" si="16"/>
        <v>84421.959368672193</v>
      </c>
      <c r="K8" s="8">
        <f t="shared" si="16"/>
        <v>84421.959368672193</v>
      </c>
      <c r="L8" s="8">
        <f t="shared" si="16"/>
        <v>84421.959368672193</v>
      </c>
      <c r="M8" s="8">
        <f t="shared" si="16"/>
        <v>84421.959368672193</v>
      </c>
      <c r="N8" s="8">
        <f t="shared" si="16"/>
        <v>84421.959368672193</v>
      </c>
      <c r="O8" s="8">
        <f t="shared" si="16"/>
        <v>84421.959368672193</v>
      </c>
      <c r="P8" s="8">
        <f t="shared" si="16"/>
        <v>84421.959368672193</v>
      </c>
      <c r="Q8" s="8">
        <f t="shared" si="13"/>
        <v>84421.959368672193</v>
      </c>
      <c r="R8" s="8">
        <f t="shared" si="15"/>
        <v>84421.959368672193</v>
      </c>
      <c r="S8" s="8">
        <f t="shared" ref="S8:S19" si="17">$B8/12</f>
        <v>84421.959368672193</v>
      </c>
    </row>
    <row r="9" spans="1:83" x14ac:dyDescent="0.2">
      <c r="A9" s="6">
        <f t="shared" si="11"/>
        <v>6</v>
      </c>
      <c r="B9" s="8">
        <f t="shared" si="9"/>
        <v>1016355.9688394445</v>
      </c>
      <c r="C9" s="8">
        <f t="shared" si="12"/>
        <v>6048961.7655916354</v>
      </c>
      <c r="I9" s="8">
        <f t="shared" ref="I9:P9" si="18">$B9/12</f>
        <v>84696.330736620366</v>
      </c>
      <c r="J9" s="8">
        <f t="shared" si="18"/>
        <v>84696.330736620366</v>
      </c>
      <c r="K9" s="8">
        <f t="shared" si="18"/>
        <v>84696.330736620366</v>
      </c>
      <c r="L9" s="8">
        <f t="shared" si="18"/>
        <v>84696.330736620366</v>
      </c>
      <c r="M9" s="8">
        <f t="shared" si="18"/>
        <v>84696.330736620366</v>
      </c>
      <c r="N9" s="8">
        <f t="shared" si="18"/>
        <v>84696.330736620366</v>
      </c>
      <c r="O9" s="8">
        <f t="shared" si="18"/>
        <v>84696.330736620366</v>
      </c>
      <c r="P9" s="8">
        <f t="shared" si="18"/>
        <v>84696.330736620366</v>
      </c>
      <c r="Q9" s="8">
        <f t="shared" si="13"/>
        <v>84696.330736620366</v>
      </c>
      <c r="R9" s="8">
        <f t="shared" si="15"/>
        <v>84696.330736620366</v>
      </c>
      <c r="S9" s="8">
        <f t="shared" si="17"/>
        <v>84696.330736620366</v>
      </c>
      <c r="T9" s="8">
        <f t="shared" ref="T9:T20" si="19">$B9/12</f>
        <v>84696.330736620366</v>
      </c>
    </row>
    <row r="10" spans="1:83" x14ac:dyDescent="0.2">
      <c r="A10" s="6">
        <f t="shared" si="11"/>
        <v>7</v>
      </c>
      <c r="B10" s="8">
        <f t="shared" si="9"/>
        <v>1019659.1257381727</v>
      </c>
      <c r="C10" s="8">
        <f t="shared" si="12"/>
        <v>7068620.8913298082</v>
      </c>
      <c r="J10" s="8">
        <f t="shared" ref="J10:P10" si="20">$B10/12</f>
        <v>84971.593811514394</v>
      </c>
      <c r="K10" s="8">
        <f t="shared" si="20"/>
        <v>84971.593811514394</v>
      </c>
      <c r="L10" s="8">
        <f t="shared" si="20"/>
        <v>84971.593811514394</v>
      </c>
      <c r="M10" s="8">
        <f t="shared" si="20"/>
        <v>84971.593811514394</v>
      </c>
      <c r="N10" s="8">
        <f t="shared" si="20"/>
        <v>84971.593811514394</v>
      </c>
      <c r="O10" s="8">
        <f t="shared" si="20"/>
        <v>84971.593811514394</v>
      </c>
      <c r="P10" s="8">
        <f t="shared" si="20"/>
        <v>84971.593811514394</v>
      </c>
      <c r="Q10" s="8">
        <f t="shared" si="13"/>
        <v>84971.593811514394</v>
      </c>
      <c r="R10" s="8">
        <f t="shared" si="15"/>
        <v>84971.593811514394</v>
      </c>
      <c r="S10" s="8">
        <f t="shared" si="17"/>
        <v>84971.593811514394</v>
      </c>
      <c r="T10" s="8">
        <f t="shared" si="19"/>
        <v>84971.593811514394</v>
      </c>
      <c r="U10" s="8">
        <f t="shared" ref="U10:U21" si="21">$B10/12</f>
        <v>84971.593811514394</v>
      </c>
    </row>
    <row r="11" spans="1:83" x14ac:dyDescent="0.2">
      <c r="A11" s="6">
        <f t="shared" si="11"/>
        <v>8</v>
      </c>
      <c r="B11" s="8">
        <f t="shared" si="9"/>
        <v>1022973.0178968217</v>
      </c>
      <c r="C11" s="8">
        <f t="shared" si="12"/>
        <v>8091593.9092266299</v>
      </c>
      <c r="K11" s="8">
        <f t="shared" ref="K11:P11" si="22">$B11/12</f>
        <v>85247.75149140181</v>
      </c>
      <c r="L11" s="8">
        <f t="shared" si="22"/>
        <v>85247.75149140181</v>
      </c>
      <c r="M11" s="8">
        <f t="shared" si="22"/>
        <v>85247.75149140181</v>
      </c>
      <c r="N11" s="8">
        <f t="shared" si="22"/>
        <v>85247.75149140181</v>
      </c>
      <c r="O11" s="8">
        <f t="shared" si="22"/>
        <v>85247.75149140181</v>
      </c>
      <c r="P11" s="8">
        <f t="shared" si="22"/>
        <v>85247.75149140181</v>
      </c>
      <c r="Q11" s="8">
        <f t="shared" si="13"/>
        <v>85247.75149140181</v>
      </c>
      <c r="R11" s="8">
        <f t="shared" si="15"/>
        <v>85247.75149140181</v>
      </c>
      <c r="S11" s="8">
        <f t="shared" si="17"/>
        <v>85247.75149140181</v>
      </c>
      <c r="T11" s="8">
        <f t="shared" si="19"/>
        <v>85247.75149140181</v>
      </c>
      <c r="U11" s="8">
        <f t="shared" si="21"/>
        <v>85247.75149140181</v>
      </c>
      <c r="V11" s="8">
        <f t="shared" ref="V11:V22" si="23">$B11/12</f>
        <v>85247.75149140181</v>
      </c>
    </row>
    <row r="12" spans="1:83" x14ac:dyDescent="0.2">
      <c r="A12" s="6">
        <f t="shared" si="11"/>
        <v>9</v>
      </c>
      <c r="B12" s="8">
        <f t="shared" si="9"/>
        <v>1026297.6802049864</v>
      </c>
      <c r="C12" s="8">
        <f t="shared" si="12"/>
        <v>9117891.5894316155</v>
      </c>
      <c r="L12" s="8">
        <f>$B12/12</f>
        <v>85524.806683748859</v>
      </c>
      <c r="M12" s="8">
        <f>$B12/12</f>
        <v>85524.806683748859</v>
      </c>
      <c r="N12" s="8">
        <f>$B12/12</f>
        <v>85524.806683748859</v>
      </c>
      <c r="O12" s="8">
        <f>$B12/12</f>
        <v>85524.806683748859</v>
      </c>
      <c r="P12" s="8">
        <f>$B12/12</f>
        <v>85524.806683748859</v>
      </c>
      <c r="Q12" s="8">
        <f t="shared" si="13"/>
        <v>85524.806683748859</v>
      </c>
      <c r="R12" s="8">
        <f t="shared" si="15"/>
        <v>85524.806683748859</v>
      </c>
      <c r="S12" s="8">
        <f t="shared" si="17"/>
        <v>85524.806683748859</v>
      </c>
      <c r="T12" s="8">
        <f t="shared" si="19"/>
        <v>85524.806683748859</v>
      </c>
      <c r="U12" s="8">
        <f t="shared" si="21"/>
        <v>85524.806683748859</v>
      </c>
      <c r="V12" s="8">
        <f t="shared" si="23"/>
        <v>85524.806683748859</v>
      </c>
      <c r="W12" s="8">
        <f t="shared" ref="W12:W23" si="24">$B12/12</f>
        <v>85524.806683748859</v>
      </c>
    </row>
    <row r="13" spans="1:83" x14ac:dyDescent="0.2">
      <c r="A13" s="6">
        <f t="shared" si="11"/>
        <v>10</v>
      </c>
      <c r="B13" s="8">
        <f t="shared" si="9"/>
        <v>1029633.1476656526</v>
      </c>
      <c r="C13" s="8">
        <f t="shared" si="12"/>
        <v>10147524.737097269</v>
      </c>
      <c r="M13" s="8">
        <f>$B13/12</f>
        <v>85802.762305471042</v>
      </c>
      <c r="N13" s="8">
        <f>$B13/12</f>
        <v>85802.762305471042</v>
      </c>
      <c r="O13" s="8">
        <f>$B13/12</f>
        <v>85802.762305471042</v>
      </c>
      <c r="P13" s="8">
        <f>$B13/12</f>
        <v>85802.762305471042</v>
      </c>
      <c r="Q13" s="8">
        <f t="shared" si="13"/>
        <v>85802.762305471042</v>
      </c>
      <c r="R13" s="8">
        <f t="shared" si="15"/>
        <v>85802.762305471042</v>
      </c>
      <c r="S13" s="8">
        <f t="shared" si="17"/>
        <v>85802.762305471042</v>
      </c>
      <c r="T13" s="8">
        <f t="shared" si="19"/>
        <v>85802.762305471042</v>
      </c>
      <c r="U13" s="8">
        <f t="shared" si="21"/>
        <v>85802.762305471042</v>
      </c>
      <c r="V13" s="8">
        <f t="shared" si="23"/>
        <v>85802.762305471042</v>
      </c>
      <c r="W13" s="8">
        <f t="shared" si="24"/>
        <v>85802.762305471042</v>
      </c>
      <c r="X13" s="8">
        <f t="shared" ref="X13:X24" si="25">$B13/12</f>
        <v>85802.762305471042</v>
      </c>
    </row>
    <row r="14" spans="1:83" x14ac:dyDescent="0.2">
      <c r="A14" s="6">
        <f t="shared" si="11"/>
        <v>11</v>
      </c>
      <c r="B14" s="8">
        <f t="shared" si="9"/>
        <v>1032979.455395566</v>
      </c>
      <c r="C14" s="8">
        <f t="shared" si="12"/>
        <v>11180504.192492835</v>
      </c>
      <c r="N14" s="8">
        <f>$B14/12</f>
        <v>86081.621282963824</v>
      </c>
      <c r="O14" s="8">
        <f>$B14/12</f>
        <v>86081.621282963824</v>
      </c>
      <c r="P14" s="8">
        <f>$B14/12</f>
        <v>86081.621282963824</v>
      </c>
      <c r="Q14" s="8">
        <f t="shared" si="13"/>
        <v>86081.621282963824</v>
      </c>
      <c r="R14" s="8">
        <f t="shared" si="15"/>
        <v>86081.621282963824</v>
      </c>
      <c r="S14" s="8">
        <f t="shared" si="17"/>
        <v>86081.621282963824</v>
      </c>
      <c r="T14" s="8">
        <f t="shared" si="19"/>
        <v>86081.621282963824</v>
      </c>
      <c r="U14" s="8">
        <f t="shared" si="21"/>
        <v>86081.621282963824</v>
      </c>
      <c r="V14" s="8">
        <f t="shared" si="23"/>
        <v>86081.621282963824</v>
      </c>
      <c r="W14" s="8">
        <f t="shared" si="24"/>
        <v>86081.621282963824</v>
      </c>
      <c r="X14" s="8">
        <f t="shared" si="25"/>
        <v>86081.621282963824</v>
      </c>
      <c r="Y14" s="8">
        <f t="shared" ref="Y14:Y25" si="26">$B14/12</f>
        <v>86081.621282963824</v>
      </c>
    </row>
    <row r="15" spans="1:83" x14ac:dyDescent="0.2">
      <c r="A15" s="6">
        <f t="shared" si="11"/>
        <v>12</v>
      </c>
      <c r="B15" s="8">
        <f t="shared" si="9"/>
        <v>1036336.6386256015</v>
      </c>
      <c r="C15" s="8">
        <f t="shared" si="12"/>
        <v>12216840.831118437</v>
      </c>
      <c r="O15" s="8">
        <f>$B15/12</f>
        <v>86361.386552133466</v>
      </c>
      <c r="P15" s="8">
        <f>$B15/12</f>
        <v>86361.386552133466</v>
      </c>
      <c r="Q15" s="8">
        <f t="shared" si="13"/>
        <v>86361.386552133466</v>
      </c>
      <c r="R15" s="8">
        <f t="shared" si="15"/>
        <v>86361.386552133466</v>
      </c>
      <c r="S15" s="8">
        <f t="shared" si="17"/>
        <v>86361.386552133466</v>
      </c>
      <c r="T15" s="8">
        <f t="shared" si="19"/>
        <v>86361.386552133466</v>
      </c>
      <c r="U15" s="8">
        <f t="shared" si="21"/>
        <v>86361.386552133466</v>
      </c>
      <c r="V15" s="8">
        <f t="shared" si="23"/>
        <v>86361.386552133466</v>
      </c>
      <c r="W15" s="8">
        <f t="shared" si="24"/>
        <v>86361.386552133466</v>
      </c>
      <c r="X15" s="8">
        <f t="shared" si="25"/>
        <v>86361.386552133466</v>
      </c>
      <c r="Y15" s="8">
        <f t="shared" si="26"/>
        <v>86361.386552133466</v>
      </c>
      <c r="Z15" s="8">
        <f t="shared" ref="Z15:Z26" si="27">$B15/12</f>
        <v>86361.386552133466</v>
      </c>
    </row>
    <row r="16" spans="1:83" x14ac:dyDescent="0.2">
      <c r="A16" s="6">
        <f t="shared" si="11"/>
        <v>13</v>
      </c>
      <c r="B16" s="8">
        <f t="shared" ref="B16:B31" si="28">B15*(1+F$1)</f>
        <v>1039704.7327011348</v>
      </c>
      <c r="C16" s="8">
        <f t="shared" si="12"/>
        <v>13256545.56381957</v>
      </c>
      <c r="P16" s="8">
        <f>$B16/12</f>
        <v>86642.061058427891</v>
      </c>
      <c r="Q16" s="8">
        <f t="shared" si="13"/>
        <v>86642.061058427891</v>
      </c>
      <c r="R16" s="8">
        <f t="shared" si="15"/>
        <v>86642.061058427891</v>
      </c>
      <c r="S16" s="8">
        <f t="shared" si="17"/>
        <v>86642.061058427891</v>
      </c>
      <c r="T16" s="8">
        <f t="shared" si="19"/>
        <v>86642.061058427891</v>
      </c>
      <c r="U16" s="8">
        <f t="shared" si="21"/>
        <v>86642.061058427891</v>
      </c>
      <c r="V16" s="8">
        <f t="shared" si="23"/>
        <v>86642.061058427891</v>
      </c>
      <c r="W16" s="8">
        <f t="shared" si="24"/>
        <v>86642.061058427891</v>
      </c>
      <c r="X16" s="8">
        <f t="shared" si="25"/>
        <v>86642.061058427891</v>
      </c>
      <c r="Y16" s="8">
        <f t="shared" si="26"/>
        <v>86642.061058427891</v>
      </c>
      <c r="Z16" s="8">
        <f t="shared" si="27"/>
        <v>86642.061058427891</v>
      </c>
      <c r="AA16" s="8">
        <f t="shared" ref="AA16:AA27" si="29">$B16/12</f>
        <v>86642.061058427891</v>
      </c>
    </row>
    <row r="17" spans="1:43" x14ac:dyDescent="0.2">
      <c r="A17" s="6">
        <f t="shared" si="11"/>
        <v>14</v>
      </c>
      <c r="B17" s="8">
        <f t="shared" si="28"/>
        <v>1043083.7730824134</v>
      </c>
      <c r="C17" s="8">
        <f t="shared" si="12"/>
        <v>14299629.336901983</v>
      </c>
      <c r="Q17" s="8">
        <f t="shared" si="13"/>
        <v>86923.64775686778</v>
      </c>
      <c r="R17" s="8">
        <f t="shared" si="15"/>
        <v>86923.64775686778</v>
      </c>
      <c r="S17" s="8">
        <f t="shared" si="17"/>
        <v>86923.64775686778</v>
      </c>
      <c r="T17" s="8">
        <f t="shared" si="19"/>
        <v>86923.64775686778</v>
      </c>
      <c r="U17" s="8">
        <f t="shared" si="21"/>
        <v>86923.64775686778</v>
      </c>
      <c r="V17" s="8">
        <f t="shared" si="23"/>
        <v>86923.64775686778</v>
      </c>
      <c r="W17" s="8">
        <f t="shared" si="24"/>
        <v>86923.64775686778</v>
      </c>
      <c r="X17" s="8">
        <f t="shared" si="25"/>
        <v>86923.64775686778</v>
      </c>
      <c r="Y17" s="8">
        <f t="shared" si="26"/>
        <v>86923.64775686778</v>
      </c>
      <c r="Z17" s="8">
        <f t="shared" si="27"/>
        <v>86923.64775686778</v>
      </c>
      <c r="AA17" s="8">
        <f t="shared" si="29"/>
        <v>86923.64775686778</v>
      </c>
      <c r="AB17" s="8">
        <f t="shared" ref="AB17:AB28" si="30">$B17/12</f>
        <v>86923.64775686778</v>
      </c>
    </row>
    <row r="18" spans="1:43" x14ac:dyDescent="0.2">
      <c r="A18" s="6">
        <f t="shared" si="11"/>
        <v>15</v>
      </c>
      <c r="B18" s="8">
        <f t="shared" si="28"/>
        <v>1046473.7953449312</v>
      </c>
      <c r="C18" s="8">
        <f t="shared" si="12"/>
        <v>15346103.132246915</v>
      </c>
      <c r="R18" s="8">
        <f t="shared" si="15"/>
        <v>87206.149612077599</v>
      </c>
      <c r="S18" s="8">
        <f t="shared" si="17"/>
        <v>87206.149612077599</v>
      </c>
      <c r="T18" s="8">
        <f t="shared" si="19"/>
        <v>87206.149612077599</v>
      </c>
      <c r="U18" s="8">
        <f t="shared" si="21"/>
        <v>87206.149612077599</v>
      </c>
      <c r="V18" s="8">
        <f t="shared" si="23"/>
        <v>87206.149612077599</v>
      </c>
      <c r="W18" s="8">
        <f t="shared" si="24"/>
        <v>87206.149612077599</v>
      </c>
      <c r="X18" s="8">
        <f t="shared" si="25"/>
        <v>87206.149612077599</v>
      </c>
      <c r="Y18" s="8">
        <f t="shared" si="26"/>
        <v>87206.149612077599</v>
      </c>
      <c r="Z18" s="8">
        <f t="shared" si="27"/>
        <v>87206.149612077599</v>
      </c>
      <c r="AA18" s="8">
        <f t="shared" si="29"/>
        <v>87206.149612077599</v>
      </c>
      <c r="AB18" s="8">
        <f t="shared" si="30"/>
        <v>87206.149612077599</v>
      </c>
      <c r="AC18" s="8">
        <f t="shared" ref="AC18:AC29" si="31">$B18/12</f>
        <v>87206.149612077599</v>
      </c>
    </row>
    <row r="19" spans="1:43" x14ac:dyDescent="0.2">
      <c r="A19" s="6">
        <f t="shared" si="11"/>
        <v>16</v>
      </c>
      <c r="B19" s="8">
        <f t="shared" si="28"/>
        <v>1049874.8351798023</v>
      </c>
      <c r="C19" s="8">
        <f t="shared" si="12"/>
        <v>16395977.967426717</v>
      </c>
      <c r="S19" s="8">
        <f t="shared" si="17"/>
        <v>87489.569598316855</v>
      </c>
      <c r="T19" s="8">
        <f t="shared" si="19"/>
        <v>87489.569598316855</v>
      </c>
      <c r="U19" s="8">
        <f t="shared" si="21"/>
        <v>87489.569598316855</v>
      </c>
      <c r="V19" s="8">
        <f t="shared" si="23"/>
        <v>87489.569598316855</v>
      </c>
      <c r="W19" s="8">
        <f t="shared" si="24"/>
        <v>87489.569598316855</v>
      </c>
      <c r="X19" s="8">
        <f t="shared" si="25"/>
        <v>87489.569598316855</v>
      </c>
      <c r="Y19" s="8">
        <f t="shared" si="26"/>
        <v>87489.569598316855</v>
      </c>
      <c r="Z19" s="8">
        <f t="shared" si="27"/>
        <v>87489.569598316855</v>
      </c>
      <c r="AA19" s="8">
        <f t="shared" si="29"/>
        <v>87489.569598316855</v>
      </c>
      <c r="AB19" s="8">
        <f t="shared" si="30"/>
        <v>87489.569598316855</v>
      </c>
      <c r="AC19" s="8">
        <f t="shared" si="31"/>
        <v>87489.569598316855</v>
      </c>
      <c r="AD19" s="8">
        <f t="shared" ref="AD19:AD30" si="32">$B19/12</f>
        <v>87489.569598316855</v>
      </c>
    </row>
    <row r="20" spans="1:43" x14ac:dyDescent="0.2">
      <c r="A20" s="6">
        <f t="shared" si="11"/>
        <v>17</v>
      </c>
      <c r="B20" s="8">
        <f t="shared" si="28"/>
        <v>1053286.9283941365</v>
      </c>
      <c r="C20" s="8">
        <f t="shared" si="12"/>
        <v>17449264.895820852</v>
      </c>
      <c r="T20" s="8">
        <f t="shared" si="19"/>
        <v>87773.910699511369</v>
      </c>
      <c r="U20" s="8">
        <f t="shared" si="21"/>
        <v>87773.910699511369</v>
      </c>
      <c r="V20" s="8">
        <f t="shared" si="23"/>
        <v>87773.910699511369</v>
      </c>
      <c r="W20" s="8">
        <f t="shared" si="24"/>
        <v>87773.910699511369</v>
      </c>
      <c r="X20" s="8">
        <f t="shared" si="25"/>
        <v>87773.910699511369</v>
      </c>
      <c r="Y20" s="8">
        <f t="shared" si="26"/>
        <v>87773.910699511369</v>
      </c>
      <c r="Z20" s="8">
        <f t="shared" si="27"/>
        <v>87773.910699511369</v>
      </c>
      <c r="AA20" s="8">
        <f t="shared" si="29"/>
        <v>87773.910699511369</v>
      </c>
      <c r="AB20" s="8">
        <f t="shared" si="30"/>
        <v>87773.910699511369</v>
      </c>
      <c r="AC20" s="8">
        <f t="shared" si="31"/>
        <v>87773.910699511369</v>
      </c>
      <c r="AD20" s="8">
        <f t="shared" si="32"/>
        <v>87773.910699511369</v>
      </c>
      <c r="AE20" s="8">
        <f t="shared" ref="AE20:AE31" si="33">$B20/12</f>
        <v>87773.910699511369</v>
      </c>
    </row>
    <row r="21" spans="1:43" x14ac:dyDescent="0.2">
      <c r="A21" s="6">
        <f t="shared" si="11"/>
        <v>18</v>
      </c>
      <c r="B21" s="8">
        <f t="shared" si="28"/>
        <v>1056710.1109114173</v>
      </c>
      <c r="C21" s="8">
        <f t="shared" si="12"/>
        <v>18505975.00673227</v>
      </c>
      <c r="U21" s="8">
        <f t="shared" si="21"/>
        <v>88059.175909284779</v>
      </c>
      <c r="V21" s="8">
        <f t="shared" si="23"/>
        <v>88059.175909284779</v>
      </c>
      <c r="W21" s="8">
        <f t="shared" si="24"/>
        <v>88059.175909284779</v>
      </c>
      <c r="X21" s="8">
        <f t="shared" si="25"/>
        <v>88059.175909284779</v>
      </c>
      <c r="Y21" s="8">
        <f t="shared" si="26"/>
        <v>88059.175909284779</v>
      </c>
      <c r="Z21" s="8">
        <f t="shared" si="27"/>
        <v>88059.175909284779</v>
      </c>
      <c r="AA21" s="8">
        <f t="shared" si="29"/>
        <v>88059.175909284779</v>
      </c>
      <c r="AB21" s="8">
        <f t="shared" si="30"/>
        <v>88059.175909284779</v>
      </c>
      <c r="AC21" s="8">
        <f t="shared" si="31"/>
        <v>88059.175909284779</v>
      </c>
      <c r="AD21" s="8">
        <f t="shared" si="32"/>
        <v>88059.175909284779</v>
      </c>
      <c r="AE21" s="8">
        <f t="shared" si="33"/>
        <v>88059.175909284779</v>
      </c>
      <c r="AF21" s="8">
        <f t="shared" ref="AF21:AF32" si="34">$B21/12</f>
        <v>88059.175909284779</v>
      </c>
    </row>
    <row r="22" spans="1:43" x14ac:dyDescent="0.2">
      <c r="A22" s="6">
        <f t="shared" ref="A22:A37" si="35">A21+1</f>
        <v>19</v>
      </c>
      <c r="B22" s="8">
        <f t="shared" si="28"/>
        <v>1060144.4187718793</v>
      </c>
      <c r="C22" s="8">
        <f t="shared" ref="C22:C37" si="36">B22+C21</f>
        <v>19566119.425504148</v>
      </c>
      <c r="V22" s="8">
        <f t="shared" si="23"/>
        <v>88345.368230989945</v>
      </c>
      <c r="W22" s="8">
        <f t="shared" si="24"/>
        <v>88345.368230989945</v>
      </c>
      <c r="X22" s="8">
        <f t="shared" si="25"/>
        <v>88345.368230989945</v>
      </c>
      <c r="Y22" s="8">
        <f t="shared" si="26"/>
        <v>88345.368230989945</v>
      </c>
      <c r="Z22" s="8">
        <f t="shared" si="27"/>
        <v>88345.368230989945</v>
      </c>
      <c r="AA22" s="8">
        <f t="shared" si="29"/>
        <v>88345.368230989945</v>
      </c>
      <c r="AB22" s="8">
        <f t="shared" si="30"/>
        <v>88345.368230989945</v>
      </c>
      <c r="AC22" s="8">
        <f t="shared" si="31"/>
        <v>88345.368230989945</v>
      </c>
      <c r="AD22" s="8">
        <f t="shared" si="32"/>
        <v>88345.368230989945</v>
      </c>
      <c r="AE22" s="8">
        <f t="shared" si="33"/>
        <v>88345.368230989945</v>
      </c>
      <c r="AF22" s="8">
        <f t="shared" si="34"/>
        <v>88345.368230989945</v>
      </c>
      <c r="AG22" s="8">
        <f t="shared" ref="AG22:AG33" si="37">$B22/12</f>
        <v>88345.368230989945</v>
      </c>
    </row>
    <row r="23" spans="1:43" x14ac:dyDescent="0.2">
      <c r="A23" s="6">
        <f t="shared" si="35"/>
        <v>20</v>
      </c>
      <c r="B23" s="8">
        <f t="shared" si="28"/>
        <v>1063589.8881328879</v>
      </c>
      <c r="C23" s="8">
        <f t="shared" si="36"/>
        <v>20629709.313637037</v>
      </c>
      <c r="W23" s="8">
        <f t="shared" si="24"/>
        <v>88632.490677740658</v>
      </c>
      <c r="X23" s="8">
        <f t="shared" si="25"/>
        <v>88632.490677740658</v>
      </c>
      <c r="Y23" s="8">
        <f t="shared" si="26"/>
        <v>88632.490677740658</v>
      </c>
      <c r="Z23" s="8">
        <f t="shared" si="27"/>
        <v>88632.490677740658</v>
      </c>
      <c r="AA23" s="8">
        <f t="shared" si="29"/>
        <v>88632.490677740658</v>
      </c>
      <c r="AB23" s="8">
        <f t="shared" si="30"/>
        <v>88632.490677740658</v>
      </c>
      <c r="AC23" s="8">
        <f t="shared" si="31"/>
        <v>88632.490677740658</v>
      </c>
      <c r="AD23" s="8">
        <f t="shared" si="32"/>
        <v>88632.490677740658</v>
      </c>
      <c r="AE23" s="8">
        <f t="shared" si="33"/>
        <v>88632.490677740658</v>
      </c>
      <c r="AF23" s="8">
        <f t="shared" si="34"/>
        <v>88632.490677740658</v>
      </c>
      <c r="AG23" s="8">
        <f t="shared" si="37"/>
        <v>88632.490677740658</v>
      </c>
      <c r="AH23" s="8">
        <f t="shared" ref="AH23:AH34" si="38">$B23/12</f>
        <v>88632.490677740658</v>
      </c>
    </row>
    <row r="24" spans="1:43" x14ac:dyDescent="0.2">
      <c r="A24" s="6">
        <f t="shared" si="35"/>
        <v>21</v>
      </c>
      <c r="B24" s="8">
        <f t="shared" si="28"/>
        <v>1067046.5552693198</v>
      </c>
      <c r="C24" s="8">
        <f t="shared" si="36"/>
        <v>21696755.868906356</v>
      </c>
      <c r="X24" s="8">
        <f t="shared" si="25"/>
        <v>88920.546272443316</v>
      </c>
      <c r="Y24" s="8">
        <f t="shared" si="26"/>
        <v>88920.546272443316</v>
      </c>
      <c r="Z24" s="8">
        <f t="shared" si="27"/>
        <v>88920.546272443316</v>
      </c>
      <c r="AA24" s="8">
        <f t="shared" si="29"/>
        <v>88920.546272443316</v>
      </c>
      <c r="AB24" s="8">
        <f t="shared" si="30"/>
        <v>88920.546272443316</v>
      </c>
      <c r="AC24" s="8">
        <f t="shared" si="31"/>
        <v>88920.546272443316</v>
      </c>
      <c r="AD24" s="8">
        <f t="shared" si="32"/>
        <v>88920.546272443316</v>
      </c>
      <c r="AE24" s="8">
        <f t="shared" si="33"/>
        <v>88920.546272443316</v>
      </c>
      <c r="AF24" s="8">
        <f t="shared" si="34"/>
        <v>88920.546272443316</v>
      </c>
      <c r="AG24" s="8">
        <f t="shared" si="37"/>
        <v>88920.546272443316</v>
      </c>
      <c r="AH24" s="8">
        <f t="shared" si="38"/>
        <v>88920.546272443316</v>
      </c>
      <c r="AI24" s="8">
        <f t="shared" ref="AI24:AI35" si="39">$B24/12</f>
        <v>88920.546272443316</v>
      </c>
    </row>
    <row r="25" spans="1:43" x14ac:dyDescent="0.2">
      <c r="A25" s="6">
        <f t="shared" si="35"/>
        <v>22</v>
      </c>
      <c r="B25" s="8">
        <f t="shared" si="28"/>
        <v>1070514.456573945</v>
      </c>
      <c r="C25" s="8">
        <f t="shared" si="36"/>
        <v>22767270.325480301</v>
      </c>
      <c r="Y25" s="8">
        <f t="shared" si="26"/>
        <v>89209.538047828755</v>
      </c>
      <c r="Z25" s="8">
        <f t="shared" si="27"/>
        <v>89209.538047828755</v>
      </c>
      <c r="AA25" s="8">
        <f t="shared" si="29"/>
        <v>89209.538047828755</v>
      </c>
      <c r="AB25" s="8">
        <f t="shared" si="30"/>
        <v>89209.538047828755</v>
      </c>
      <c r="AC25" s="8">
        <f t="shared" si="31"/>
        <v>89209.538047828755</v>
      </c>
      <c r="AD25" s="8">
        <f t="shared" si="32"/>
        <v>89209.538047828755</v>
      </c>
      <c r="AE25" s="8">
        <f t="shared" si="33"/>
        <v>89209.538047828755</v>
      </c>
      <c r="AF25" s="8">
        <f t="shared" si="34"/>
        <v>89209.538047828755</v>
      </c>
      <c r="AG25" s="8">
        <f t="shared" si="37"/>
        <v>89209.538047828755</v>
      </c>
      <c r="AH25" s="8">
        <f t="shared" si="38"/>
        <v>89209.538047828755</v>
      </c>
      <c r="AI25" s="8">
        <f t="shared" si="39"/>
        <v>89209.538047828755</v>
      </c>
      <c r="AJ25" s="8">
        <f t="shared" ref="AJ25:AJ36" si="40">$B25/12</f>
        <v>89209.538047828755</v>
      </c>
    </row>
    <row r="26" spans="1:43" x14ac:dyDescent="0.2">
      <c r="A26" s="6">
        <f t="shared" si="35"/>
        <v>23</v>
      </c>
      <c r="B26" s="8">
        <f t="shared" si="28"/>
        <v>1073993.6285578103</v>
      </c>
      <c r="C26" s="8">
        <f t="shared" si="36"/>
        <v>23841263.95403811</v>
      </c>
      <c r="Z26" s="8">
        <f t="shared" si="27"/>
        <v>89499.469046484199</v>
      </c>
      <c r="AA26" s="8">
        <f t="shared" si="29"/>
        <v>89499.469046484199</v>
      </c>
      <c r="AB26" s="8">
        <f t="shared" si="30"/>
        <v>89499.469046484199</v>
      </c>
      <c r="AC26" s="8">
        <f t="shared" si="31"/>
        <v>89499.469046484199</v>
      </c>
      <c r="AD26" s="8">
        <f t="shared" si="32"/>
        <v>89499.469046484199</v>
      </c>
      <c r="AE26" s="8">
        <f t="shared" si="33"/>
        <v>89499.469046484199</v>
      </c>
      <c r="AF26" s="8">
        <f t="shared" si="34"/>
        <v>89499.469046484199</v>
      </c>
      <c r="AG26" s="8">
        <f t="shared" si="37"/>
        <v>89499.469046484199</v>
      </c>
      <c r="AH26" s="8">
        <f t="shared" si="38"/>
        <v>89499.469046484199</v>
      </c>
      <c r="AI26" s="8">
        <f t="shared" si="39"/>
        <v>89499.469046484199</v>
      </c>
      <c r="AJ26" s="8">
        <f t="shared" si="40"/>
        <v>89499.469046484199</v>
      </c>
      <c r="AK26" s="8">
        <f t="shared" ref="AK26:AK37" si="41">$B26/12</f>
        <v>89499.469046484199</v>
      </c>
    </row>
    <row r="27" spans="1:43" x14ac:dyDescent="0.2">
      <c r="A27" s="6">
        <f t="shared" si="35"/>
        <v>24</v>
      </c>
      <c r="B27" s="8">
        <f t="shared" si="28"/>
        <v>1077484.1078506231</v>
      </c>
      <c r="C27" s="8">
        <f t="shared" si="36"/>
        <v>24918748.061888732</v>
      </c>
      <c r="AA27" s="8">
        <f t="shared" si="29"/>
        <v>89790.342320885262</v>
      </c>
      <c r="AB27" s="8">
        <f t="shared" si="30"/>
        <v>89790.342320885262</v>
      </c>
      <c r="AC27" s="8">
        <f t="shared" si="31"/>
        <v>89790.342320885262</v>
      </c>
      <c r="AD27" s="8">
        <f t="shared" si="32"/>
        <v>89790.342320885262</v>
      </c>
      <c r="AE27" s="8">
        <f t="shared" si="33"/>
        <v>89790.342320885262</v>
      </c>
      <c r="AF27" s="8">
        <f t="shared" si="34"/>
        <v>89790.342320885262</v>
      </c>
      <c r="AG27" s="8">
        <f t="shared" si="37"/>
        <v>89790.342320885262</v>
      </c>
      <c r="AH27" s="8">
        <f t="shared" si="38"/>
        <v>89790.342320885262</v>
      </c>
      <c r="AI27" s="8">
        <f t="shared" si="39"/>
        <v>89790.342320885262</v>
      </c>
      <c r="AJ27" s="8">
        <f t="shared" si="40"/>
        <v>89790.342320885262</v>
      </c>
      <c r="AK27" s="8">
        <f t="shared" si="41"/>
        <v>89790.342320885262</v>
      </c>
      <c r="AL27" s="8">
        <f t="shared" ref="AL27:AL38" si="42">$B27/12</f>
        <v>89790.342320885262</v>
      </c>
    </row>
    <row r="28" spans="1:43" x14ac:dyDescent="0.2">
      <c r="A28" s="6">
        <f t="shared" si="35"/>
        <v>25</v>
      </c>
      <c r="B28" s="8">
        <f t="shared" si="28"/>
        <v>1080985.9312011376</v>
      </c>
      <c r="C28" s="8">
        <f t="shared" si="36"/>
        <v>25999733.99308987</v>
      </c>
      <c r="AB28" s="8">
        <f t="shared" si="30"/>
        <v>90082.160933428138</v>
      </c>
      <c r="AC28" s="8">
        <f t="shared" si="31"/>
        <v>90082.160933428138</v>
      </c>
      <c r="AD28" s="8">
        <f t="shared" si="32"/>
        <v>90082.160933428138</v>
      </c>
      <c r="AE28" s="8">
        <f t="shared" si="33"/>
        <v>90082.160933428138</v>
      </c>
      <c r="AF28" s="8">
        <f t="shared" si="34"/>
        <v>90082.160933428138</v>
      </c>
      <c r="AG28" s="8">
        <f t="shared" si="37"/>
        <v>90082.160933428138</v>
      </c>
      <c r="AH28" s="8">
        <f t="shared" si="38"/>
        <v>90082.160933428138</v>
      </c>
      <c r="AI28" s="8">
        <f t="shared" si="39"/>
        <v>90082.160933428138</v>
      </c>
      <c r="AJ28" s="8">
        <f t="shared" si="40"/>
        <v>90082.160933428138</v>
      </c>
      <c r="AK28" s="8">
        <f t="shared" si="41"/>
        <v>90082.160933428138</v>
      </c>
      <c r="AL28" s="8">
        <f t="shared" si="42"/>
        <v>90082.160933428138</v>
      </c>
      <c r="AM28" s="8">
        <f t="shared" ref="AM28:AM39" si="43">$B28/12</f>
        <v>90082.160933428138</v>
      </c>
    </row>
    <row r="29" spans="1:43" x14ac:dyDescent="0.2">
      <c r="A29" s="6">
        <f t="shared" si="35"/>
        <v>26</v>
      </c>
      <c r="B29" s="8">
        <f t="shared" si="28"/>
        <v>1084499.1354775412</v>
      </c>
      <c r="C29" s="8">
        <f t="shared" si="36"/>
        <v>27084233.128567412</v>
      </c>
      <c r="AC29" s="8">
        <f t="shared" si="31"/>
        <v>90374.927956461775</v>
      </c>
      <c r="AD29" s="8">
        <f t="shared" si="32"/>
        <v>90374.927956461775</v>
      </c>
      <c r="AE29" s="8">
        <f t="shared" si="33"/>
        <v>90374.927956461775</v>
      </c>
      <c r="AF29" s="8">
        <f t="shared" si="34"/>
        <v>90374.927956461775</v>
      </c>
      <c r="AG29" s="8">
        <f t="shared" si="37"/>
        <v>90374.927956461775</v>
      </c>
      <c r="AH29" s="8">
        <f t="shared" si="38"/>
        <v>90374.927956461775</v>
      </c>
      <c r="AI29" s="8">
        <f t="shared" si="39"/>
        <v>90374.927956461775</v>
      </c>
      <c r="AJ29" s="8">
        <f t="shared" si="40"/>
        <v>90374.927956461775</v>
      </c>
      <c r="AK29" s="8">
        <f t="shared" si="41"/>
        <v>90374.927956461775</v>
      </c>
      <c r="AL29" s="8">
        <f t="shared" si="42"/>
        <v>90374.927956461775</v>
      </c>
      <c r="AM29" s="8">
        <f t="shared" si="43"/>
        <v>90374.927956461775</v>
      </c>
      <c r="AN29" s="8">
        <f t="shared" ref="AN29:AN40" si="44">$B29/12</f>
        <v>90374.927956461775</v>
      </c>
    </row>
    <row r="30" spans="1:43" x14ac:dyDescent="0.2">
      <c r="A30" s="6">
        <f t="shared" si="35"/>
        <v>27</v>
      </c>
      <c r="B30" s="8">
        <f t="shared" si="28"/>
        <v>1088023.7576678433</v>
      </c>
      <c r="C30" s="8">
        <f t="shared" si="36"/>
        <v>28172256.886235256</v>
      </c>
      <c r="AD30" s="8">
        <f t="shared" si="32"/>
        <v>90668.646472320266</v>
      </c>
      <c r="AE30" s="8">
        <f t="shared" si="33"/>
        <v>90668.646472320266</v>
      </c>
      <c r="AF30" s="8">
        <f t="shared" si="34"/>
        <v>90668.646472320266</v>
      </c>
      <c r="AG30" s="8">
        <f t="shared" si="37"/>
        <v>90668.646472320266</v>
      </c>
      <c r="AH30" s="8">
        <f t="shared" si="38"/>
        <v>90668.646472320266</v>
      </c>
      <c r="AI30" s="8">
        <f t="shared" si="39"/>
        <v>90668.646472320266</v>
      </c>
      <c r="AJ30" s="8">
        <f t="shared" si="40"/>
        <v>90668.646472320266</v>
      </c>
      <c r="AK30" s="8">
        <f t="shared" si="41"/>
        <v>90668.646472320266</v>
      </c>
      <c r="AL30" s="8">
        <f t="shared" si="42"/>
        <v>90668.646472320266</v>
      </c>
      <c r="AM30" s="8">
        <f t="shared" si="43"/>
        <v>90668.646472320266</v>
      </c>
      <c r="AN30" s="8">
        <f t="shared" si="44"/>
        <v>90668.646472320266</v>
      </c>
      <c r="AO30" s="8">
        <f t="shared" ref="AO30:AO41" si="45">$B30/12</f>
        <v>90668.646472320266</v>
      </c>
    </row>
    <row r="31" spans="1:43" x14ac:dyDescent="0.2">
      <c r="A31" s="6">
        <f t="shared" si="35"/>
        <v>28</v>
      </c>
      <c r="B31" s="8">
        <f t="shared" si="28"/>
        <v>1091559.8348802638</v>
      </c>
      <c r="C31" s="8">
        <f t="shared" si="36"/>
        <v>29263816.721115518</v>
      </c>
      <c r="AE31" s="8">
        <f t="shared" si="33"/>
        <v>90963.319573355315</v>
      </c>
      <c r="AF31" s="8">
        <f t="shared" si="34"/>
        <v>90963.319573355315</v>
      </c>
      <c r="AG31" s="8">
        <f t="shared" si="37"/>
        <v>90963.319573355315</v>
      </c>
      <c r="AH31" s="8">
        <f t="shared" si="38"/>
        <v>90963.319573355315</v>
      </c>
      <c r="AI31" s="8">
        <f t="shared" si="39"/>
        <v>90963.319573355315</v>
      </c>
      <c r="AJ31" s="8">
        <f t="shared" si="40"/>
        <v>90963.319573355315</v>
      </c>
      <c r="AK31" s="8">
        <f t="shared" si="41"/>
        <v>90963.319573355315</v>
      </c>
      <c r="AL31" s="8">
        <f t="shared" si="42"/>
        <v>90963.319573355315</v>
      </c>
      <c r="AM31" s="8">
        <f t="shared" si="43"/>
        <v>90963.319573355315</v>
      </c>
      <c r="AN31" s="8">
        <f t="shared" si="44"/>
        <v>90963.319573355315</v>
      </c>
      <c r="AO31" s="8">
        <f t="shared" si="45"/>
        <v>90963.319573355315</v>
      </c>
      <c r="AP31" s="8">
        <f t="shared" ref="AP31:AP42" si="46">$B31/12</f>
        <v>90963.319573355315</v>
      </c>
    </row>
    <row r="32" spans="1:43" x14ac:dyDescent="0.2">
      <c r="A32" s="6">
        <f t="shared" si="35"/>
        <v>29</v>
      </c>
      <c r="B32" s="8">
        <f t="shared" ref="B32:B47" si="47">B31*(1+F$1)</f>
        <v>1095107.4043436246</v>
      </c>
      <c r="C32" s="8">
        <f t="shared" si="36"/>
        <v>30358924.125459142</v>
      </c>
      <c r="AF32" s="8">
        <f t="shared" si="34"/>
        <v>91258.950361968717</v>
      </c>
      <c r="AG32" s="8">
        <f t="shared" si="37"/>
        <v>91258.950361968717</v>
      </c>
      <c r="AH32" s="8">
        <f t="shared" si="38"/>
        <v>91258.950361968717</v>
      </c>
      <c r="AI32" s="8">
        <f t="shared" si="39"/>
        <v>91258.950361968717</v>
      </c>
      <c r="AJ32" s="8">
        <f t="shared" si="40"/>
        <v>91258.950361968717</v>
      </c>
      <c r="AK32" s="8">
        <f t="shared" si="41"/>
        <v>91258.950361968717</v>
      </c>
      <c r="AL32" s="8">
        <f t="shared" si="42"/>
        <v>91258.950361968717</v>
      </c>
      <c r="AM32" s="8">
        <f t="shared" si="43"/>
        <v>91258.950361968717</v>
      </c>
      <c r="AN32" s="8">
        <f t="shared" si="44"/>
        <v>91258.950361968717</v>
      </c>
      <c r="AO32" s="8">
        <f t="shared" si="45"/>
        <v>91258.950361968717</v>
      </c>
      <c r="AP32" s="8">
        <f t="shared" si="46"/>
        <v>91258.950361968717</v>
      </c>
      <c r="AQ32" s="8">
        <f t="shared" ref="AQ32:AQ43" si="48">$B32/12</f>
        <v>91258.950361968717</v>
      </c>
    </row>
    <row r="33" spans="1:59" x14ac:dyDescent="0.2">
      <c r="A33" s="6">
        <f t="shared" si="35"/>
        <v>30</v>
      </c>
      <c r="B33" s="8">
        <f t="shared" si="47"/>
        <v>1098666.5034077414</v>
      </c>
      <c r="C33" s="8">
        <f t="shared" si="36"/>
        <v>31457590.628866885</v>
      </c>
      <c r="AG33" s="8">
        <f t="shared" si="37"/>
        <v>91555.541950645114</v>
      </c>
      <c r="AH33" s="8">
        <f t="shared" si="38"/>
        <v>91555.541950645114</v>
      </c>
      <c r="AI33" s="8">
        <f t="shared" si="39"/>
        <v>91555.541950645114</v>
      </c>
      <c r="AJ33" s="8">
        <f t="shared" si="40"/>
        <v>91555.541950645114</v>
      </c>
      <c r="AK33" s="8">
        <f t="shared" si="41"/>
        <v>91555.541950645114</v>
      </c>
      <c r="AL33" s="8">
        <f t="shared" si="42"/>
        <v>91555.541950645114</v>
      </c>
      <c r="AM33" s="8">
        <f t="shared" si="43"/>
        <v>91555.541950645114</v>
      </c>
      <c r="AN33" s="8">
        <f t="shared" si="44"/>
        <v>91555.541950645114</v>
      </c>
      <c r="AO33" s="8">
        <f t="shared" si="45"/>
        <v>91555.541950645114</v>
      </c>
      <c r="AP33" s="8">
        <f t="shared" si="46"/>
        <v>91555.541950645114</v>
      </c>
      <c r="AQ33" s="8">
        <f t="shared" si="48"/>
        <v>91555.541950645114</v>
      </c>
      <c r="AR33" s="8">
        <f t="shared" ref="AR33:AR44" si="49">$B33/12</f>
        <v>91555.541950645114</v>
      </c>
    </row>
    <row r="34" spans="1:59" x14ac:dyDescent="0.2">
      <c r="A34" s="6">
        <f t="shared" si="35"/>
        <v>31</v>
      </c>
      <c r="B34" s="8">
        <f t="shared" si="47"/>
        <v>1102237.1695438165</v>
      </c>
      <c r="C34" s="8">
        <f t="shared" si="36"/>
        <v>32559827.798410702</v>
      </c>
      <c r="AH34" s="8">
        <f t="shared" si="38"/>
        <v>91853.097461984711</v>
      </c>
      <c r="AI34" s="8">
        <f t="shared" si="39"/>
        <v>91853.097461984711</v>
      </c>
      <c r="AJ34" s="8">
        <f t="shared" si="40"/>
        <v>91853.097461984711</v>
      </c>
      <c r="AK34" s="8">
        <f t="shared" si="41"/>
        <v>91853.097461984711</v>
      </c>
      <c r="AL34" s="8">
        <f t="shared" si="42"/>
        <v>91853.097461984711</v>
      </c>
      <c r="AM34" s="8">
        <f t="shared" si="43"/>
        <v>91853.097461984711</v>
      </c>
      <c r="AN34" s="8">
        <f t="shared" si="44"/>
        <v>91853.097461984711</v>
      </c>
      <c r="AO34" s="8">
        <f t="shared" si="45"/>
        <v>91853.097461984711</v>
      </c>
      <c r="AP34" s="8">
        <f t="shared" si="46"/>
        <v>91853.097461984711</v>
      </c>
      <c r="AQ34" s="8">
        <f t="shared" si="48"/>
        <v>91853.097461984711</v>
      </c>
      <c r="AR34" s="8">
        <f t="shared" si="49"/>
        <v>91853.097461984711</v>
      </c>
      <c r="AS34" s="8">
        <f t="shared" ref="AS34:AS45" si="50">$B34/12</f>
        <v>91853.097461984711</v>
      </c>
    </row>
    <row r="35" spans="1:59" x14ac:dyDescent="0.2">
      <c r="A35" s="6">
        <f t="shared" si="35"/>
        <v>32</v>
      </c>
      <c r="B35" s="8">
        <f t="shared" si="47"/>
        <v>1105819.4403448338</v>
      </c>
      <c r="C35" s="8">
        <f t="shared" si="36"/>
        <v>33665647.238755539</v>
      </c>
      <c r="AI35" s="8">
        <f t="shared" si="39"/>
        <v>92151.620028736143</v>
      </c>
      <c r="AJ35" s="8">
        <f t="shared" si="40"/>
        <v>92151.620028736143</v>
      </c>
      <c r="AK35" s="8">
        <f t="shared" si="41"/>
        <v>92151.620028736143</v>
      </c>
      <c r="AL35" s="8">
        <f t="shared" si="42"/>
        <v>92151.620028736143</v>
      </c>
      <c r="AM35" s="8">
        <f t="shared" si="43"/>
        <v>92151.620028736143</v>
      </c>
      <c r="AN35" s="8">
        <f t="shared" si="44"/>
        <v>92151.620028736143</v>
      </c>
      <c r="AO35" s="8">
        <f t="shared" si="45"/>
        <v>92151.620028736143</v>
      </c>
      <c r="AP35" s="8">
        <f t="shared" si="46"/>
        <v>92151.620028736143</v>
      </c>
      <c r="AQ35" s="8">
        <f t="shared" si="48"/>
        <v>92151.620028736143</v>
      </c>
      <c r="AR35" s="8">
        <f t="shared" si="49"/>
        <v>92151.620028736143</v>
      </c>
      <c r="AS35" s="8">
        <f t="shared" si="50"/>
        <v>92151.620028736143</v>
      </c>
      <c r="AT35" s="8">
        <f t="shared" ref="AT35:AT46" si="51">$B35/12</f>
        <v>92151.620028736143</v>
      </c>
    </row>
    <row r="36" spans="1:59" x14ac:dyDescent="0.2">
      <c r="A36" s="6">
        <f t="shared" si="35"/>
        <v>33</v>
      </c>
      <c r="B36" s="8">
        <f t="shared" si="47"/>
        <v>1109413.3535259545</v>
      </c>
      <c r="C36" s="8">
        <f t="shared" si="36"/>
        <v>34775060.592281491</v>
      </c>
      <c r="AJ36" s="8">
        <f t="shared" si="40"/>
        <v>92451.112793829539</v>
      </c>
      <c r="AK36" s="8">
        <f t="shared" si="41"/>
        <v>92451.112793829539</v>
      </c>
      <c r="AL36" s="8">
        <f t="shared" si="42"/>
        <v>92451.112793829539</v>
      </c>
      <c r="AM36" s="8">
        <f t="shared" si="43"/>
        <v>92451.112793829539</v>
      </c>
      <c r="AN36" s="8">
        <f t="shared" si="44"/>
        <v>92451.112793829539</v>
      </c>
      <c r="AO36" s="8">
        <f t="shared" si="45"/>
        <v>92451.112793829539</v>
      </c>
      <c r="AP36" s="8">
        <f t="shared" si="46"/>
        <v>92451.112793829539</v>
      </c>
      <c r="AQ36" s="8">
        <f t="shared" si="48"/>
        <v>92451.112793829539</v>
      </c>
      <c r="AR36" s="8">
        <f t="shared" si="49"/>
        <v>92451.112793829539</v>
      </c>
      <c r="AS36" s="8">
        <f t="shared" si="50"/>
        <v>92451.112793829539</v>
      </c>
      <c r="AT36" s="8">
        <f t="shared" si="51"/>
        <v>92451.112793829539</v>
      </c>
      <c r="AU36" s="8">
        <f t="shared" ref="AU36:AU47" si="52">$B36/12</f>
        <v>92451.112793829539</v>
      </c>
    </row>
    <row r="37" spans="1:59" x14ac:dyDescent="0.2">
      <c r="A37" s="6">
        <f t="shared" si="35"/>
        <v>34</v>
      </c>
      <c r="B37" s="8">
        <f t="shared" si="47"/>
        <v>1113018.9469249139</v>
      </c>
      <c r="C37" s="8">
        <f t="shared" si="36"/>
        <v>35888079.539206408</v>
      </c>
      <c r="AK37" s="8">
        <f t="shared" si="41"/>
        <v>92751.578910409487</v>
      </c>
      <c r="AL37" s="8">
        <f t="shared" si="42"/>
        <v>92751.578910409487</v>
      </c>
      <c r="AM37" s="8">
        <f t="shared" si="43"/>
        <v>92751.578910409487</v>
      </c>
      <c r="AN37" s="8">
        <f t="shared" si="44"/>
        <v>92751.578910409487</v>
      </c>
      <c r="AO37" s="8">
        <f t="shared" si="45"/>
        <v>92751.578910409487</v>
      </c>
      <c r="AP37" s="8">
        <f t="shared" si="46"/>
        <v>92751.578910409487</v>
      </c>
      <c r="AQ37" s="8">
        <f t="shared" si="48"/>
        <v>92751.578910409487</v>
      </c>
      <c r="AR37" s="8">
        <f t="shared" si="49"/>
        <v>92751.578910409487</v>
      </c>
      <c r="AS37" s="8">
        <f t="shared" si="50"/>
        <v>92751.578910409487</v>
      </c>
      <c r="AT37" s="8">
        <f t="shared" si="51"/>
        <v>92751.578910409487</v>
      </c>
      <c r="AU37" s="8">
        <f t="shared" si="52"/>
        <v>92751.578910409487</v>
      </c>
      <c r="AV37" s="8">
        <f t="shared" ref="AV37:AV48" si="53">$B37/12</f>
        <v>92751.578910409487</v>
      </c>
    </row>
    <row r="38" spans="1:59" x14ac:dyDescent="0.2">
      <c r="A38" s="6">
        <f t="shared" ref="A38:A53" si="54">A37+1</f>
        <v>35</v>
      </c>
      <c r="B38" s="8">
        <f t="shared" si="47"/>
        <v>1116636.2585024198</v>
      </c>
      <c r="C38" s="8">
        <f t="shared" ref="C38:C53" si="55">B38+C37</f>
        <v>37004715.797708824</v>
      </c>
      <c r="AL38" s="8">
        <f t="shared" si="42"/>
        <v>93053.021541868322</v>
      </c>
      <c r="AM38" s="8">
        <f t="shared" si="43"/>
        <v>93053.021541868322</v>
      </c>
      <c r="AN38" s="8">
        <f t="shared" si="44"/>
        <v>93053.021541868322</v>
      </c>
      <c r="AO38" s="8">
        <f t="shared" si="45"/>
        <v>93053.021541868322</v>
      </c>
      <c r="AP38" s="8">
        <f t="shared" si="46"/>
        <v>93053.021541868322</v>
      </c>
      <c r="AQ38" s="8">
        <f t="shared" si="48"/>
        <v>93053.021541868322</v>
      </c>
      <c r="AR38" s="8">
        <f t="shared" si="49"/>
        <v>93053.021541868322</v>
      </c>
      <c r="AS38" s="8">
        <f t="shared" si="50"/>
        <v>93053.021541868322</v>
      </c>
      <c r="AT38" s="8">
        <f t="shared" si="51"/>
        <v>93053.021541868322</v>
      </c>
      <c r="AU38" s="8">
        <f t="shared" si="52"/>
        <v>93053.021541868322</v>
      </c>
      <c r="AV38" s="8">
        <f t="shared" si="53"/>
        <v>93053.021541868322</v>
      </c>
      <c r="AW38" s="8">
        <f t="shared" ref="AW38:AW49" si="56">$B38/12</f>
        <v>93053.021541868322</v>
      </c>
    </row>
    <row r="39" spans="1:59" x14ac:dyDescent="0.2">
      <c r="A39" s="6">
        <f t="shared" si="54"/>
        <v>36</v>
      </c>
      <c r="B39" s="8">
        <f t="shared" si="47"/>
        <v>1120265.3263425527</v>
      </c>
      <c r="C39" s="8">
        <f t="shared" si="55"/>
        <v>38124981.124051377</v>
      </c>
      <c r="AM39" s="8">
        <f t="shared" si="43"/>
        <v>93355.443861879394</v>
      </c>
      <c r="AN39" s="8">
        <f t="shared" si="44"/>
        <v>93355.443861879394</v>
      </c>
      <c r="AO39" s="8">
        <f t="shared" si="45"/>
        <v>93355.443861879394</v>
      </c>
      <c r="AP39" s="8">
        <f t="shared" si="46"/>
        <v>93355.443861879394</v>
      </c>
      <c r="AQ39" s="8">
        <f t="shared" si="48"/>
        <v>93355.443861879394</v>
      </c>
      <c r="AR39" s="8">
        <f t="shared" si="49"/>
        <v>93355.443861879394</v>
      </c>
      <c r="AS39" s="8">
        <f t="shared" si="50"/>
        <v>93355.443861879394</v>
      </c>
      <c r="AT39" s="8">
        <f t="shared" si="51"/>
        <v>93355.443861879394</v>
      </c>
      <c r="AU39" s="8">
        <f t="shared" si="52"/>
        <v>93355.443861879394</v>
      </c>
      <c r="AV39" s="8">
        <f t="shared" si="53"/>
        <v>93355.443861879394</v>
      </c>
      <c r="AW39" s="8">
        <f t="shared" si="56"/>
        <v>93355.443861879394</v>
      </c>
      <c r="AX39" s="8">
        <f t="shared" ref="AX39:AX50" si="57">$B39/12</f>
        <v>93355.443861879394</v>
      </c>
    </row>
    <row r="40" spans="1:59" x14ac:dyDescent="0.2">
      <c r="A40" s="6">
        <f t="shared" si="54"/>
        <v>37</v>
      </c>
      <c r="B40" s="8">
        <f t="shared" si="47"/>
        <v>1123906.1886531659</v>
      </c>
      <c r="C40" s="8">
        <f t="shared" si="55"/>
        <v>39248887.312704541</v>
      </c>
      <c r="AN40" s="8">
        <f t="shared" si="44"/>
        <v>93658.849054430495</v>
      </c>
      <c r="AO40" s="8">
        <f t="shared" si="45"/>
        <v>93658.849054430495</v>
      </c>
      <c r="AP40" s="8">
        <f t="shared" si="46"/>
        <v>93658.849054430495</v>
      </c>
      <c r="AQ40" s="8">
        <f t="shared" si="48"/>
        <v>93658.849054430495</v>
      </c>
      <c r="AR40" s="8">
        <f t="shared" si="49"/>
        <v>93658.849054430495</v>
      </c>
      <c r="AS40" s="8">
        <f t="shared" si="50"/>
        <v>93658.849054430495</v>
      </c>
      <c r="AT40" s="8">
        <f t="shared" si="51"/>
        <v>93658.849054430495</v>
      </c>
      <c r="AU40" s="8">
        <f t="shared" si="52"/>
        <v>93658.849054430495</v>
      </c>
      <c r="AV40" s="8">
        <f t="shared" si="53"/>
        <v>93658.849054430495</v>
      </c>
      <c r="AW40" s="8">
        <f t="shared" si="56"/>
        <v>93658.849054430495</v>
      </c>
      <c r="AX40" s="8">
        <f t="shared" si="57"/>
        <v>93658.849054430495</v>
      </c>
      <c r="AY40" s="8">
        <f t="shared" ref="AY40:AY51" si="58">$B40/12</f>
        <v>93658.849054430495</v>
      </c>
    </row>
    <row r="41" spans="1:59" x14ac:dyDescent="0.2">
      <c r="A41" s="6">
        <f t="shared" si="54"/>
        <v>38</v>
      </c>
      <c r="B41" s="8">
        <f t="shared" si="47"/>
        <v>1127558.8837662886</v>
      </c>
      <c r="C41" s="8">
        <f t="shared" si="55"/>
        <v>40376446.196470827</v>
      </c>
      <c r="AO41" s="8">
        <f t="shared" si="45"/>
        <v>93963.240313857386</v>
      </c>
      <c r="AP41" s="8">
        <f t="shared" si="46"/>
        <v>93963.240313857386</v>
      </c>
      <c r="AQ41" s="8">
        <f t="shared" si="48"/>
        <v>93963.240313857386</v>
      </c>
      <c r="AR41" s="8">
        <f t="shared" si="49"/>
        <v>93963.240313857386</v>
      </c>
      <c r="AS41" s="8">
        <f t="shared" si="50"/>
        <v>93963.240313857386</v>
      </c>
      <c r="AT41" s="8">
        <f t="shared" si="51"/>
        <v>93963.240313857386</v>
      </c>
      <c r="AU41" s="8">
        <f t="shared" si="52"/>
        <v>93963.240313857386</v>
      </c>
      <c r="AV41" s="8">
        <f t="shared" si="53"/>
        <v>93963.240313857386</v>
      </c>
      <c r="AW41" s="8">
        <f t="shared" si="56"/>
        <v>93963.240313857386</v>
      </c>
      <c r="AX41" s="8">
        <f t="shared" si="57"/>
        <v>93963.240313857386</v>
      </c>
      <c r="AY41" s="8">
        <f t="shared" si="58"/>
        <v>93963.240313857386</v>
      </c>
      <c r="AZ41" s="8">
        <f t="shared" ref="AZ41:AZ52" si="59">$B41/12</f>
        <v>93963.240313857386</v>
      </c>
    </row>
    <row r="42" spans="1:59" x14ac:dyDescent="0.2">
      <c r="A42" s="6">
        <f t="shared" si="54"/>
        <v>39</v>
      </c>
      <c r="B42" s="8">
        <f t="shared" si="47"/>
        <v>1131223.4501385291</v>
      </c>
      <c r="C42" s="8">
        <f t="shared" si="55"/>
        <v>41507669.646609358</v>
      </c>
      <c r="AP42" s="8">
        <f t="shared" si="46"/>
        <v>94268.620844877427</v>
      </c>
      <c r="AQ42" s="8">
        <f t="shared" si="48"/>
        <v>94268.620844877427</v>
      </c>
      <c r="AR42" s="8">
        <f t="shared" si="49"/>
        <v>94268.620844877427</v>
      </c>
      <c r="AS42" s="8">
        <f t="shared" si="50"/>
        <v>94268.620844877427</v>
      </c>
      <c r="AT42" s="8">
        <f t="shared" si="51"/>
        <v>94268.620844877427</v>
      </c>
      <c r="AU42" s="8">
        <f t="shared" si="52"/>
        <v>94268.620844877427</v>
      </c>
      <c r="AV42" s="8">
        <f t="shared" si="53"/>
        <v>94268.620844877427</v>
      </c>
      <c r="AW42" s="8">
        <f t="shared" si="56"/>
        <v>94268.620844877427</v>
      </c>
      <c r="AX42" s="8">
        <f t="shared" si="57"/>
        <v>94268.620844877427</v>
      </c>
      <c r="AY42" s="8">
        <f t="shared" si="58"/>
        <v>94268.620844877427</v>
      </c>
      <c r="AZ42" s="8">
        <f t="shared" si="59"/>
        <v>94268.620844877427</v>
      </c>
      <c r="BA42" s="8">
        <f t="shared" ref="BA42:BA53" si="60">$B42/12</f>
        <v>94268.620844877427</v>
      </c>
    </row>
    <row r="43" spans="1:59" x14ac:dyDescent="0.2">
      <c r="A43" s="6">
        <f t="shared" si="54"/>
        <v>40</v>
      </c>
      <c r="B43" s="8">
        <f t="shared" si="47"/>
        <v>1134899.9263514793</v>
      </c>
      <c r="C43" s="8">
        <f t="shared" si="55"/>
        <v>42642569.572960839</v>
      </c>
      <c r="AQ43" s="8">
        <f t="shared" si="48"/>
        <v>94574.993862623276</v>
      </c>
      <c r="AR43" s="8">
        <f t="shared" si="49"/>
        <v>94574.993862623276</v>
      </c>
      <c r="AS43" s="8">
        <f t="shared" si="50"/>
        <v>94574.993862623276</v>
      </c>
      <c r="AT43" s="8">
        <f t="shared" si="51"/>
        <v>94574.993862623276</v>
      </c>
      <c r="AU43" s="8">
        <f t="shared" si="52"/>
        <v>94574.993862623276</v>
      </c>
      <c r="AV43" s="8">
        <f t="shared" si="53"/>
        <v>94574.993862623276</v>
      </c>
      <c r="AW43" s="8">
        <f t="shared" si="56"/>
        <v>94574.993862623276</v>
      </c>
      <c r="AX43" s="8">
        <f t="shared" si="57"/>
        <v>94574.993862623276</v>
      </c>
      <c r="AY43" s="8">
        <f t="shared" si="58"/>
        <v>94574.993862623276</v>
      </c>
      <c r="AZ43" s="8">
        <f t="shared" si="59"/>
        <v>94574.993862623276</v>
      </c>
      <c r="BA43" s="8">
        <f t="shared" si="60"/>
        <v>94574.993862623276</v>
      </c>
      <c r="BB43" s="8">
        <f t="shared" ref="BB43:BB54" si="61">$B43/12</f>
        <v>94574.993862623276</v>
      </c>
    </row>
    <row r="44" spans="1:59" x14ac:dyDescent="0.2">
      <c r="A44" s="6">
        <f t="shared" si="54"/>
        <v>41</v>
      </c>
      <c r="B44" s="8">
        <f t="shared" si="47"/>
        <v>1138588.3511121215</v>
      </c>
      <c r="C44" s="8">
        <f t="shared" si="55"/>
        <v>43781157.924072959</v>
      </c>
      <c r="AR44" s="8">
        <f t="shared" si="49"/>
        <v>94882.362592676785</v>
      </c>
      <c r="AS44" s="8">
        <f t="shared" si="50"/>
        <v>94882.362592676785</v>
      </c>
      <c r="AT44" s="8">
        <f t="shared" si="51"/>
        <v>94882.362592676785</v>
      </c>
      <c r="AU44" s="8">
        <f t="shared" si="52"/>
        <v>94882.362592676785</v>
      </c>
      <c r="AV44" s="8">
        <f t="shared" si="53"/>
        <v>94882.362592676785</v>
      </c>
      <c r="AW44" s="8">
        <f t="shared" si="56"/>
        <v>94882.362592676785</v>
      </c>
      <c r="AX44" s="8">
        <f t="shared" si="57"/>
        <v>94882.362592676785</v>
      </c>
      <c r="AY44" s="8">
        <f t="shared" si="58"/>
        <v>94882.362592676785</v>
      </c>
      <c r="AZ44" s="8">
        <f t="shared" si="59"/>
        <v>94882.362592676785</v>
      </c>
      <c r="BA44" s="8">
        <f t="shared" si="60"/>
        <v>94882.362592676785</v>
      </c>
      <c r="BB44" s="8">
        <f t="shared" si="61"/>
        <v>94882.362592676785</v>
      </c>
      <c r="BC44" s="8">
        <f t="shared" ref="BC44:BC55" si="62">$B44/12</f>
        <v>94882.362592676785</v>
      </c>
    </row>
    <row r="45" spans="1:59" x14ac:dyDescent="0.2">
      <c r="A45" s="6">
        <f t="shared" si="54"/>
        <v>42</v>
      </c>
      <c r="B45" s="8">
        <f t="shared" si="47"/>
        <v>1142288.763253236</v>
      </c>
      <c r="C45" s="8">
        <f t="shared" si="55"/>
        <v>44923446.687326193</v>
      </c>
      <c r="AS45" s="8">
        <f t="shared" si="50"/>
        <v>95190.730271102992</v>
      </c>
      <c r="AT45" s="8">
        <f t="shared" si="51"/>
        <v>95190.730271102992</v>
      </c>
      <c r="AU45" s="8">
        <f t="shared" si="52"/>
        <v>95190.730271102992</v>
      </c>
      <c r="AV45" s="8">
        <f t="shared" si="53"/>
        <v>95190.730271102992</v>
      </c>
      <c r="AW45" s="8">
        <f t="shared" si="56"/>
        <v>95190.730271102992</v>
      </c>
      <c r="AX45" s="8">
        <f t="shared" si="57"/>
        <v>95190.730271102992</v>
      </c>
      <c r="AY45" s="8">
        <f t="shared" si="58"/>
        <v>95190.730271102992</v>
      </c>
      <c r="AZ45" s="8">
        <f t="shared" si="59"/>
        <v>95190.730271102992</v>
      </c>
      <c r="BA45" s="8">
        <f t="shared" si="60"/>
        <v>95190.730271102992</v>
      </c>
      <c r="BB45" s="8">
        <f t="shared" si="61"/>
        <v>95190.730271102992</v>
      </c>
      <c r="BC45" s="8">
        <f t="shared" si="62"/>
        <v>95190.730271102992</v>
      </c>
      <c r="BD45" s="8">
        <f t="shared" ref="BD45:BD56" si="63">$B45/12</f>
        <v>95190.730271102992</v>
      </c>
    </row>
    <row r="46" spans="1:59" x14ac:dyDescent="0.2">
      <c r="A46" s="6">
        <f t="shared" si="54"/>
        <v>43</v>
      </c>
      <c r="B46" s="8">
        <f t="shared" si="47"/>
        <v>1146001.201733809</v>
      </c>
      <c r="C46" s="8">
        <f t="shared" si="55"/>
        <v>46069447.889060006</v>
      </c>
      <c r="AT46" s="8">
        <f t="shared" si="51"/>
        <v>95500.10014448408</v>
      </c>
      <c r="AU46" s="8">
        <f t="shared" si="52"/>
        <v>95500.10014448408</v>
      </c>
      <c r="AV46" s="8">
        <f t="shared" si="53"/>
        <v>95500.10014448408</v>
      </c>
      <c r="AW46" s="8">
        <f t="shared" si="56"/>
        <v>95500.10014448408</v>
      </c>
      <c r="AX46" s="8">
        <f t="shared" si="57"/>
        <v>95500.10014448408</v>
      </c>
      <c r="AY46" s="8">
        <f t="shared" si="58"/>
        <v>95500.10014448408</v>
      </c>
      <c r="AZ46" s="8">
        <f t="shared" si="59"/>
        <v>95500.10014448408</v>
      </c>
      <c r="BA46" s="8">
        <f t="shared" si="60"/>
        <v>95500.10014448408</v>
      </c>
      <c r="BB46" s="8">
        <f t="shared" si="61"/>
        <v>95500.10014448408</v>
      </c>
      <c r="BC46" s="8">
        <f t="shared" si="62"/>
        <v>95500.10014448408</v>
      </c>
      <c r="BD46" s="8">
        <f t="shared" si="63"/>
        <v>95500.10014448408</v>
      </c>
      <c r="BE46" s="8">
        <f t="shared" ref="BE46:BE57" si="64">$B46/12</f>
        <v>95500.10014448408</v>
      </c>
    </row>
    <row r="47" spans="1:59" x14ac:dyDescent="0.2">
      <c r="A47" s="6">
        <f t="shared" si="54"/>
        <v>44</v>
      </c>
      <c r="B47" s="8">
        <f t="shared" si="47"/>
        <v>1149725.7056394438</v>
      </c>
      <c r="C47" s="8">
        <f t="shared" si="55"/>
        <v>47219173.59469945</v>
      </c>
      <c r="AU47" s="8">
        <f t="shared" si="52"/>
        <v>95810.475469953657</v>
      </c>
      <c r="AV47" s="8">
        <f t="shared" si="53"/>
        <v>95810.475469953657</v>
      </c>
      <c r="AW47" s="8">
        <f t="shared" si="56"/>
        <v>95810.475469953657</v>
      </c>
      <c r="AX47" s="8">
        <f t="shared" si="57"/>
        <v>95810.475469953657</v>
      </c>
      <c r="AY47" s="8">
        <f t="shared" si="58"/>
        <v>95810.475469953657</v>
      </c>
      <c r="AZ47" s="8">
        <f t="shared" si="59"/>
        <v>95810.475469953657</v>
      </c>
      <c r="BA47" s="8">
        <f t="shared" si="60"/>
        <v>95810.475469953657</v>
      </c>
      <c r="BB47" s="8">
        <f t="shared" si="61"/>
        <v>95810.475469953657</v>
      </c>
      <c r="BC47" s="8">
        <f t="shared" si="62"/>
        <v>95810.475469953657</v>
      </c>
      <c r="BD47" s="8">
        <f t="shared" si="63"/>
        <v>95810.475469953657</v>
      </c>
      <c r="BE47" s="8">
        <f t="shared" si="64"/>
        <v>95810.475469953657</v>
      </c>
      <c r="BF47" s="8">
        <f t="shared" ref="BF47:BF58" si="65">$B47/12</f>
        <v>95810.475469953657</v>
      </c>
    </row>
    <row r="48" spans="1:59" x14ac:dyDescent="0.2">
      <c r="A48" s="6">
        <f t="shared" si="54"/>
        <v>45</v>
      </c>
      <c r="B48" s="8">
        <f t="shared" ref="B48:B63" si="66">B47*(1+F$1)</f>
        <v>1153462.3141827721</v>
      </c>
      <c r="C48" s="8">
        <f t="shared" si="55"/>
        <v>48372635.908882223</v>
      </c>
      <c r="AV48" s="8">
        <f t="shared" si="53"/>
        <v>96121.859515231001</v>
      </c>
      <c r="AW48" s="8">
        <f t="shared" si="56"/>
        <v>96121.859515231001</v>
      </c>
      <c r="AX48" s="8">
        <f t="shared" si="57"/>
        <v>96121.859515231001</v>
      </c>
      <c r="AY48" s="8">
        <f t="shared" si="58"/>
        <v>96121.859515231001</v>
      </c>
      <c r="AZ48" s="8">
        <f t="shared" si="59"/>
        <v>96121.859515231001</v>
      </c>
      <c r="BA48" s="8">
        <f t="shared" si="60"/>
        <v>96121.859515231001</v>
      </c>
      <c r="BB48" s="8">
        <f t="shared" si="61"/>
        <v>96121.859515231001</v>
      </c>
      <c r="BC48" s="8">
        <f t="shared" si="62"/>
        <v>96121.859515231001</v>
      </c>
      <c r="BD48" s="8">
        <f t="shared" si="63"/>
        <v>96121.859515231001</v>
      </c>
      <c r="BE48" s="8">
        <f t="shared" si="64"/>
        <v>96121.859515231001</v>
      </c>
      <c r="BF48" s="8">
        <f t="shared" si="65"/>
        <v>96121.859515231001</v>
      </c>
      <c r="BG48" s="8">
        <f t="shared" ref="BG48:BG59" si="67">$B48/12</f>
        <v>96121.859515231001</v>
      </c>
    </row>
    <row r="49" spans="1:74" x14ac:dyDescent="0.2">
      <c r="A49" s="6">
        <f t="shared" si="54"/>
        <v>46</v>
      </c>
      <c r="B49" s="8">
        <f t="shared" si="66"/>
        <v>1157211.066703866</v>
      </c>
      <c r="C49" s="8">
        <f t="shared" si="55"/>
        <v>49529846.975586087</v>
      </c>
      <c r="AW49" s="8">
        <f t="shared" si="56"/>
        <v>96434.255558655495</v>
      </c>
      <c r="AX49" s="8">
        <f t="shared" si="57"/>
        <v>96434.255558655495</v>
      </c>
      <c r="AY49" s="8">
        <f t="shared" si="58"/>
        <v>96434.255558655495</v>
      </c>
      <c r="AZ49" s="8">
        <f t="shared" si="59"/>
        <v>96434.255558655495</v>
      </c>
      <c r="BA49" s="8">
        <f t="shared" si="60"/>
        <v>96434.255558655495</v>
      </c>
      <c r="BB49" s="8">
        <f t="shared" si="61"/>
        <v>96434.255558655495</v>
      </c>
      <c r="BC49" s="8">
        <f t="shared" si="62"/>
        <v>96434.255558655495</v>
      </c>
      <c r="BD49" s="8">
        <f t="shared" si="63"/>
        <v>96434.255558655495</v>
      </c>
      <c r="BE49" s="8">
        <f t="shared" si="64"/>
        <v>96434.255558655495</v>
      </c>
      <c r="BF49" s="8">
        <f t="shared" si="65"/>
        <v>96434.255558655495</v>
      </c>
      <c r="BG49" s="8">
        <f t="shared" si="67"/>
        <v>96434.255558655495</v>
      </c>
      <c r="BH49" s="8">
        <f t="shared" ref="BH49:BH60" si="68">$B49/12</f>
        <v>96434.255558655495</v>
      </c>
    </row>
    <row r="50" spans="1:74" x14ac:dyDescent="0.2">
      <c r="A50" s="6">
        <f t="shared" si="54"/>
        <v>47</v>
      </c>
      <c r="B50" s="8">
        <f t="shared" si="66"/>
        <v>1160972.0026706536</v>
      </c>
      <c r="C50" s="8">
        <f t="shared" si="55"/>
        <v>50690818.97825674</v>
      </c>
      <c r="AX50" s="8">
        <f t="shared" si="57"/>
        <v>96747.666889221131</v>
      </c>
      <c r="AY50" s="8">
        <f t="shared" si="58"/>
        <v>96747.666889221131</v>
      </c>
      <c r="AZ50" s="8">
        <f t="shared" si="59"/>
        <v>96747.666889221131</v>
      </c>
      <c r="BA50" s="8">
        <f t="shared" si="60"/>
        <v>96747.666889221131</v>
      </c>
      <c r="BB50" s="8">
        <f t="shared" si="61"/>
        <v>96747.666889221131</v>
      </c>
      <c r="BC50" s="8">
        <f t="shared" si="62"/>
        <v>96747.666889221131</v>
      </c>
      <c r="BD50" s="8">
        <f t="shared" si="63"/>
        <v>96747.666889221131</v>
      </c>
      <c r="BE50" s="8">
        <f t="shared" si="64"/>
        <v>96747.666889221131</v>
      </c>
      <c r="BF50" s="8">
        <f t="shared" si="65"/>
        <v>96747.666889221131</v>
      </c>
      <c r="BG50" s="8">
        <f t="shared" si="67"/>
        <v>96747.666889221131</v>
      </c>
      <c r="BH50" s="8">
        <f t="shared" si="68"/>
        <v>96747.666889221131</v>
      </c>
      <c r="BI50" s="8">
        <f t="shared" ref="BI50:BI61" si="69">$B50/12</f>
        <v>96747.666889221131</v>
      </c>
    </row>
    <row r="51" spans="1:74" x14ac:dyDescent="0.2">
      <c r="A51" s="6">
        <f t="shared" si="54"/>
        <v>48</v>
      </c>
      <c r="B51" s="8">
        <f t="shared" si="66"/>
        <v>1164745.1616793333</v>
      </c>
      <c r="C51" s="8">
        <f t="shared" si="55"/>
        <v>51855564.139936075</v>
      </c>
      <c r="AY51" s="8">
        <f t="shared" si="58"/>
        <v>97062.096806611109</v>
      </c>
      <c r="AZ51" s="8">
        <f t="shared" si="59"/>
        <v>97062.096806611109</v>
      </c>
      <c r="BA51" s="8">
        <f t="shared" si="60"/>
        <v>97062.096806611109</v>
      </c>
      <c r="BB51" s="8">
        <f t="shared" si="61"/>
        <v>97062.096806611109</v>
      </c>
      <c r="BC51" s="8">
        <f t="shared" si="62"/>
        <v>97062.096806611109</v>
      </c>
      <c r="BD51" s="8">
        <f t="shared" si="63"/>
        <v>97062.096806611109</v>
      </c>
      <c r="BE51" s="8">
        <f t="shared" si="64"/>
        <v>97062.096806611109</v>
      </c>
      <c r="BF51" s="8">
        <f t="shared" si="65"/>
        <v>97062.096806611109</v>
      </c>
      <c r="BG51" s="8">
        <f t="shared" si="67"/>
        <v>97062.096806611109</v>
      </c>
      <c r="BH51" s="8">
        <f t="shared" si="68"/>
        <v>97062.096806611109</v>
      </c>
      <c r="BI51" s="8">
        <f t="shared" si="69"/>
        <v>97062.096806611109</v>
      </c>
      <c r="BJ51" s="8">
        <f t="shared" ref="BJ51:BJ62" si="70">$B51/12</f>
        <v>97062.096806611109</v>
      </c>
    </row>
    <row r="52" spans="1:74" x14ac:dyDescent="0.2">
      <c r="A52" s="6">
        <f t="shared" si="54"/>
        <v>49</v>
      </c>
      <c r="B52" s="8">
        <f t="shared" si="66"/>
        <v>1168530.5834547912</v>
      </c>
      <c r="C52" s="8">
        <f t="shared" si="55"/>
        <v>53024094.723390862</v>
      </c>
      <c r="AZ52" s="8">
        <f t="shared" si="59"/>
        <v>97377.548621232607</v>
      </c>
      <c r="BA52" s="8">
        <f t="shared" si="60"/>
        <v>97377.548621232607</v>
      </c>
      <c r="BB52" s="8">
        <f t="shared" si="61"/>
        <v>97377.548621232607</v>
      </c>
      <c r="BC52" s="8">
        <f t="shared" si="62"/>
        <v>97377.548621232607</v>
      </c>
      <c r="BD52" s="8">
        <f t="shared" si="63"/>
        <v>97377.548621232607</v>
      </c>
      <c r="BE52" s="8">
        <f t="shared" si="64"/>
        <v>97377.548621232607</v>
      </c>
      <c r="BF52" s="8">
        <f t="shared" si="65"/>
        <v>97377.548621232607</v>
      </c>
      <c r="BG52" s="8">
        <f t="shared" si="67"/>
        <v>97377.548621232607</v>
      </c>
      <c r="BH52" s="8">
        <f t="shared" si="68"/>
        <v>97377.548621232607</v>
      </c>
      <c r="BI52" s="8">
        <f t="shared" si="69"/>
        <v>97377.548621232607</v>
      </c>
      <c r="BJ52" s="8">
        <f t="shared" si="70"/>
        <v>97377.548621232607</v>
      </c>
      <c r="BK52" s="8">
        <f t="shared" ref="BK52:BK63" si="71">$B52/12</f>
        <v>97377.548621232607</v>
      </c>
    </row>
    <row r="53" spans="1:74" x14ac:dyDescent="0.2">
      <c r="A53" s="6">
        <f t="shared" si="54"/>
        <v>50</v>
      </c>
      <c r="B53" s="8">
        <f t="shared" si="66"/>
        <v>1172328.3078510193</v>
      </c>
      <c r="C53" s="8">
        <f t="shared" si="55"/>
        <v>54196423.031241879</v>
      </c>
      <c r="BA53" s="8">
        <f t="shared" si="60"/>
        <v>97694.025654251614</v>
      </c>
      <c r="BB53" s="8">
        <f t="shared" si="61"/>
        <v>97694.025654251614</v>
      </c>
      <c r="BC53" s="8">
        <f t="shared" si="62"/>
        <v>97694.025654251614</v>
      </c>
      <c r="BD53" s="8">
        <f t="shared" si="63"/>
        <v>97694.025654251614</v>
      </c>
      <c r="BE53" s="8">
        <f t="shared" si="64"/>
        <v>97694.025654251614</v>
      </c>
      <c r="BF53" s="8">
        <f t="shared" si="65"/>
        <v>97694.025654251614</v>
      </c>
      <c r="BG53" s="8">
        <f t="shared" si="67"/>
        <v>97694.025654251614</v>
      </c>
      <c r="BH53" s="8">
        <f t="shared" si="68"/>
        <v>97694.025654251614</v>
      </c>
      <c r="BI53" s="8">
        <f t="shared" si="69"/>
        <v>97694.025654251614</v>
      </c>
      <c r="BJ53" s="8">
        <f t="shared" si="70"/>
        <v>97694.025654251614</v>
      </c>
      <c r="BK53" s="8">
        <f t="shared" si="71"/>
        <v>97694.025654251614</v>
      </c>
      <c r="BL53" s="8">
        <f t="shared" ref="BL53:BL63" si="72">$B53/12</f>
        <v>97694.025654251614</v>
      </c>
    </row>
    <row r="54" spans="1:74" x14ac:dyDescent="0.2">
      <c r="A54" s="6">
        <f t="shared" ref="A54:A63" si="73">A53+1</f>
        <v>51</v>
      </c>
      <c r="B54" s="8">
        <f t="shared" si="66"/>
        <v>1176138.3748515351</v>
      </c>
      <c r="C54" s="8">
        <f t="shared" ref="C54:C63" si="74">B54+C53</f>
        <v>55372561.406093411</v>
      </c>
      <c r="BB54" s="8">
        <f t="shared" si="61"/>
        <v>98011.531237627918</v>
      </c>
      <c r="BC54" s="8">
        <f t="shared" si="62"/>
        <v>98011.531237627918</v>
      </c>
      <c r="BD54" s="8">
        <f t="shared" si="63"/>
        <v>98011.531237627918</v>
      </c>
      <c r="BE54" s="8">
        <f t="shared" si="64"/>
        <v>98011.531237627918</v>
      </c>
      <c r="BF54" s="8">
        <f t="shared" si="65"/>
        <v>98011.531237627918</v>
      </c>
      <c r="BG54" s="8">
        <f t="shared" si="67"/>
        <v>98011.531237627918</v>
      </c>
      <c r="BH54" s="8">
        <f t="shared" si="68"/>
        <v>98011.531237627918</v>
      </c>
      <c r="BI54" s="8">
        <f t="shared" si="69"/>
        <v>98011.531237627918</v>
      </c>
      <c r="BJ54" s="8">
        <f t="shared" si="70"/>
        <v>98011.531237627918</v>
      </c>
      <c r="BK54" s="8">
        <f t="shared" si="71"/>
        <v>98011.531237627918</v>
      </c>
      <c r="BL54" s="8">
        <f t="shared" si="72"/>
        <v>98011.531237627918</v>
      </c>
      <c r="BM54" s="8">
        <f t="shared" ref="BM54:BM63" si="75">$B54/12</f>
        <v>98011.531237627918</v>
      </c>
    </row>
    <row r="55" spans="1:74" x14ac:dyDescent="0.2">
      <c r="A55" s="6">
        <f t="shared" si="73"/>
        <v>52</v>
      </c>
      <c r="B55" s="8">
        <f t="shared" si="66"/>
        <v>1179960.8245698025</v>
      </c>
      <c r="C55" s="8">
        <f t="shared" si="74"/>
        <v>56552522.23066321</v>
      </c>
      <c r="BC55" s="8">
        <f t="shared" si="62"/>
        <v>98330.068714150213</v>
      </c>
      <c r="BD55" s="8">
        <f t="shared" si="63"/>
        <v>98330.068714150213</v>
      </c>
      <c r="BE55" s="8">
        <f t="shared" si="64"/>
        <v>98330.068714150213</v>
      </c>
      <c r="BF55" s="8">
        <f t="shared" si="65"/>
        <v>98330.068714150213</v>
      </c>
      <c r="BG55" s="8">
        <f t="shared" si="67"/>
        <v>98330.068714150213</v>
      </c>
      <c r="BH55" s="8">
        <f t="shared" si="68"/>
        <v>98330.068714150213</v>
      </c>
      <c r="BI55" s="8">
        <f t="shared" si="69"/>
        <v>98330.068714150213</v>
      </c>
      <c r="BJ55" s="8">
        <f t="shared" si="70"/>
        <v>98330.068714150213</v>
      </c>
      <c r="BK55" s="8">
        <f t="shared" si="71"/>
        <v>98330.068714150213</v>
      </c>
      <c r="BL55" s="8">
        <f t="shared" si="72"/>
        <v>98330.068714150213</v>
      </c>
      <c r="BM55" s="8">
        <f t="shared" si="75"/>
        <v>98330.068714150213</v>
      </c>
      <c r="BN55" s="8">
        <f t="shared" ref="BN55:BN63" si="76">$B55/12</f>
        <v>98330.068714150213</v>
      </c>
    </row>
    <row r="56" spans="1:74" x14ac:dyDescent="0.2">
      <c r="A56" s="6">
        <f t="shared" si="73"/>
        <v>53</v>
      </c>
      <c r="B56" s="8">
        <f t="shared" si="66"/>
        <v>1183795.6972496542</v>
      </c>
      <c r="C56" s="8">
        <f t="shared" si="74"/>
        <v>57736317.927912861</v>
      </c>
      <c r="BD56" s="8">
        <f t="shared" si="63"/>
        <v>98649.641437471189</v>
      </c>
      <c r="BE56" s="8">
        <f t="shared" si="64"/>
        <v>98649.641437471189</v>
      </c>
      <c r="BF56" s="8">
        <f t="shared" si="65"/>
        <v>98649.641437471189</v>
      </c>
      <c r="BG56" s="8">
        <f t="shared" si="67"/>
        <v>98649.641437471189</v>
      </c>
      <c r="BH56" s="8">
        <f t="shared" si="68"/>
        <v>98649.641437471189</v>
      </c>
      <c r="BI56" s="8">
        <f t="shared" si="69"/>
        <v>98649.641437471189</v>
      </c>
      <c r="BJ56" s="8">
        <f t="shared" si="70"/>
        <v>98649.641437471189</v>
      </c>
      <c r="BK56" s="8">
        <f t="shared" si="71"/>
        <v>98649.641437471189</v>
      </c>
      <c r="BL56" s="8">
        <f t="shared" si="72"/>
        <v>98649.641437471189</v>
      </c>
      <c r="BM56" s="8">
        <f t="shared" si="75"/>
        <v>98649.641437471189</v>
      </c>
      <c r="BN56" s="8">
        <f t="shared" si="76"/>
        <v>98649.641437471189</v>
      </c>
      <c r="BO56" s="8">
        <f t="shared" ref="BO56:BO63" si="77">$B56/12</f>
        <v>98649.641437471189</v>
      </c>
    </row>
    <row r="57" spans="1:74" x14ac:dyDescent="0.2">
      <c r="A57" s="6">
        <f t="shared" si="73"/>
        <v>54</v>
      </c>
      <c r="B57" s="8">
        <f t="shared" si="66"/>
        <v>1187643.0332657155</v>
      </c>
      <c r="C57" s="8">
        <f t="shared" si="74"/>
        <v>58923960.961178578</v>
      </c>
      <c r="BE57" s="8">
        <f t="shared" si="64"/>
        <v>98970.252772142951</v>
      </c>
      <c r="BF57" s="8">
        <f t="shared" si="65"/>
        <v>98970.252772142951</v>
      </c>
      <c r="BG57" s="8">
        <f t="shared" si="67"/>
        <v>98970.252772142951</v>
      </c>
      <c r="BH57" s="8">
        <f t="shared" si="68"/>
        <v>98970.252772142951</v>
      </c>
      <c r="BI57" s="8">
        <f t="shared" si="69"/>
        <v>98970.252772142951</v>
      </c>
      <c r="BJ57" s="8">
        <f t="shared" si="70"/>
        <v>98970.252772142951</v>
      </c>
      <c r="BK57" s="8">
        <f t="shared" si="71"/>
        <v>98970.252772142951</v>
      </c>
      <c r="BL57" s="8">
        <f t="shared" si="72"/>
        <v>98970.252772142951</v>
      </c>
      <c r="BM57" s="8">
        <f t="shared" si="75"/>
        <v>98970.252772142951</v>
      </c>
      <c r="BN57" s="8">
        <f t="shared" si="76"/>
        <v>98970.252772142951</v>
      </c>
      <c r="BO57" s="8">
        <f t="shared" si="77"/>
        <v>98970.252772142951</v>
      </c>
      <c r="BP57" s="8">
        <f>$B57/12</f>
        <v>98970.252772142951</v>
      </c>
    </row>
    <row r="58" spans="1:74" x14ac:dyDescent="0.2">
      <c r="A58" s="6">
        <f t="shared" si="73"/>
        <v>55</v>
      </c>
      <c r="B58" s="8">
        <f t="shared" si="66"/>
        <v>1191502.873123829</v>
      </c>
      <c r="C58" s="8">
        <f t="shared" si="74"/>
        <v>60115463.83430241</v>
      </c>
      <c r="BF58" s="8">
        <f t="shared" si="65"/>
        <v>99291.906093652418</v>
      </c>
      <c r="BG58" s="8">
        <f t="shared" si="67"/>
        <v>99291.906093652418</v>
      </c>
      <c r="BH58" s="8">
        <f t="shared" si="68"/>
        <v>99291.906093652418</v>
      </c>
      <c r="BI58" s="8">
        <f t="shared" si="69"/>
        <v>99291.906093652418</v>
      </c>
      <c r="BJ58" s="8">
        <f t="shared" si="70"/>
        <v>99291.906093652418</v>
      </c>
      <c r="BK58" s="8">
        <f t="shared" si="71"/>
        <v>99291.906093652418</v>
      </c>
      <c r="BL58" s="8">
        <f t="shared" si="72"/>
        <v>99291.906093652418</v>
      </c>
      <c r="BM58" s="8">
        <f t="shared" si="75"/>
        <v>99291.906093652418</v>
      </c>
      <c r="BN58" s="8">
        <f t="shared" si="76"/>
        <v>99291.906093652418</v>
      </c>
      <c r="BO58" s="8">
        <f t="shared" si="77"/>
        <v>99291.906093652418</v>
      </c>
      <c r="BP58" s="8">
        <f>$B58/12</f>
        <v>99291.906093652418</v>
      </c>
      <c r="BQ58" s="8">
        <f>$B58/12</f>
        <v>99291.906093652418</v>
      </c>
    </row>
    <row r="59" spans="1:74" x14ac:dyDescent="0.2">
      <c r="A59" s="6">
        <f t="shared" si="73"/>
        <v>56</v>
      </c>
      <c r="B59" s="8">
        <f t="shared" si="66"/>
        <v>1195375.2574614815</v>
      </c>
      <c r="C59" s="8">
        <f t="shared" si="74"/>
        <v>61310839.091763891</v>
      </c>
      <c r="BG59" s="8">
        <f t="shared" si="67"/>
        <v>99614.604788456796</v>
      </c>
      <c r="BH59" s="8">
        <f t="shared" si="68"/>
        <v>99614.604788456796</v>
      </c>
      <c r="BI59" s="8">
        <f t="shared" si="69"/>
        <v>99614.604788456796</v>
      </c>
      <c r="BJ59" s="8">
        <f t="shared" si="70"/>
        <v>99614.604788456796</v>
      </c>
      <c r="BK59" s="8">
        <f t="shared" si="71"/>
        <v>99614.604788456796</v>
      </c>
      <c r="BL59" s="8">
        <f t="shared" si="72"/>
        <v>99614.604788456796</v>
      </c>
      <c r="BM59" s="8">
        <f t="shared" si="75"/>
        <v>99614.604788456796</v>
      </c>
      <c r="BN59" s="8">
        <f t="shared" si="76"/>
        <v>99614.604788456796</v>
      </c>
      <c r="BO59" s="8">
        <f t="shared" si="77"/>
        <v>99614.604788456796</v>
      </c>
      <c r="BP59" s="8">
        <f>$B59/12</f>
        <v>99614.604788456796</v>
      </c>
      <c r="BQ59" s="8">
        <f>$B59/12</f>
        <v>99614.604788456796</v>
      </c>
      <c r="BR59" s="8">
        <f>$B59/12</f>
        <v>99614.604788456796</v>
      </c>
    </row>
    <row r="60" spans="1:74" x14ac:dyDescent="0.2">
      <c r="A60" s="6">
        <f t="shared" si="73"/>
        <v>57</v>
      </c>
      <c r="B60" s="8">
        <f t="shared" si="66"/>
        <v>1199260.2270482313</v>
      </c>
      <c r="C60" s="8">
        <f t="shared" si="74"/>
        <v>62510099.318812124</v>
      </c>
      <c r="BH60" s="8">
        <f t="shared" si="68"/>
        <v>99938.352254019279</v>
      </c>
      <c r="BI60" s="8">
        <f t="shared" si="69"/>
        <v>99938.352254019279</v>
      </c>
      <c r="BJ60" s="8">
        <f t="shared" si="70"/>
        <v>99938.352254019279</v>
      </c>
      <c r="BK60" s="8">
        <f t="shared" si="71"/>
        <v>99938.352254019279</v>
      </c>
      <c r="BL60" s="8">
        <f t="shared" si="72"/>
        <v>99938.352254019279</v>
      </c>
      <c r="BM60" s="8">
        <f t="shared" si="75"/>
        <v>99938.352254019279</v>
      </c>
      <c r="BN60" s="8">
        <f t="shared" si="76"/>
        <v>99938.352254019279</v>
      </c>
      <c r="BO60" s="8">
        <f t="shared" si="77"/>
        <v>99938.352254019279</v>
      </c>
      <c r="BP60" s="8">
        <f t="shared" ref="BP60:BV63" si="78">$B60/12</f>
        <v>99938.352254019279</v>
      </c>
      <c r="BQ60" s="8">
        <f t="shared" si="78"/>
        <v>99938.352254019279</v>
      </c>
      <c r="BR60" s="8">
        <f t="shared" si="78"/>
        <v>99938.352254019279</v>
      </c>
      <c r="BS60" s="8">
        <f t="shared" si="78"/>
        <v>99938.352254019279</v>
      </c>
    </row>
    <row r="61" spans="1:74" x14ac:dyDescent="0.2">
      <c r="A61" s="6">
        <f t="shared" si="73"/>
        <v>58</v>
      </c>
      <c r="B61" s="8">
        <f t="shared" si="66"/>
        <v>1203157.8227861379</v>
      </c>
      <c r="C61" s="8">
        <f t="shared" si="74"/>
        <v>63713257.141598262</v>
      </c>
      <c r="BI61" s="8">
        <f t="shared" si="69"/>
        <v>100263.15189884482</v>
      </c>
      <c r="BJ61" s="8">
        <f t="shared" si="70"/>
        <v>100263.15189884482</v>
      </c>
      <c r="BK61" s="8">
        <f t="shared" si="71"/>
        <v>100263.15189884482</v>
      </c>
      <c r="BL61" s="8">
        <f t="shared" si="72"/>
        <v>100263.15189884482</v>
      </c>
      <c r="BM61" s="8">
        <f t="shared" si="75"/>
        <v>100263.15189884482</v>
      </c>
      <c r="BN61" s="8">
        <f t="shared" si="76"/>
        <v>100263.15189884482</v>
      </c>
      <c r="BO61" s="8">
        <f t="shared" si="77"/>
        <v>100263.15189884482</v>
      </c>
      <c r="BP61" s="8">
        <f>$B61/12</f>
        <v>100263.15189884482</v>
      </c>
      <c r="BQ61" s="8">
        <f t="shared" si="78"/>
        <v>100263.15189884482</v>
      </c>
      <c r="BR61" s="8">
        <f t="shared" si="78"/>
        <v>100263.15189884482</v>
      </c>
      <c r="BS61" s="8">
        <f t="shared" si="78"/>
        <v>100263.15189884482</v>
      </c>
      <c r="BT61" s="8">
        <f t="shared" si="78"/>
        <v>100263.15189884482</v>
      </c>
    </row>
    <row r="62" spans="1:74" x14ac:dyDescent="0.2">
      <c r="A62" s="6">
        <f t="shared" si="73"/>
        <v>59</v>
      </c>
      <c r="B62" s="8">
        <f t="shared" si="66"/>
        <v>1207068.0857101928</v>
      </c>
      <c r="C62" s="8">
        <f t="shared" si="74"/>
        <v>64920325.227308452</v>
      </c>
      <c r="BJ62" s="8">
        <f t="shared" si="70"/>
        <v>100589.00714251607</v>
      </c>
      <c r="BK62" s="8">
        <f t="shared" si="71"/>
        <v>100589.00714251607</v>
      </c>
      <c r="BL62" s="8">
        <f t="shared" si="72"/>
        <v>100589.00714251607</v>
      </c>
      <c r="BM62" s="8">
        <f t="shared" si="75"/>
        <v>100589.00714251607</v>
      </c>
      <c r="BN62" s="8">
        <f t="shared" si="76"/>
        <v>100589.00714251607</v>
      </c>
      <c r="BO62" s="8">
        <f t="shared" si="77"/>
        <v>100589.00714251607</v>
      </c>
      <c r="BP62" s="8">
        <f>$B62/12</f>
        <v>100589.00714251607</v>
      </c>
      <c r="BQ62" s="8">
        <f>$B62/12</f>
        <v>100589.00714251607</v>
      </c>
      <c r="BR62" s="8">
        <f t="shared" si="78"/>
        <v>100589.00714251607</v>
      </c>
      <c r="BS62" s="8">
        <f t="shared" si="78"/>
        <v>100589.00714251607</v>
      </c>
      <c r="BT62" s="8">
        <f t="shared" si="78"/>
        <v>100589.00714251607</v>
      </c>
      <c r="BU62" s="8">
        <f t="shared" si="78"/>
        <v>100589.00714251607</v>
      </c>
    </row>
    <row r="63" spans="1:74" x14ac:dyDescent="0.2">
      <c r="A63" s="6">
        <f t="shared" si="73"/>
        <v>60</v>
      </c>
      <c r="B63" s="8">
        <f t="shared" si="66"/>
        <v>1210991.0569887508</v>
      </c>
      <c r="C63" s="8">
        <f t="shared" si="74"/>
        <v>66131316.284297206</v>
      </c>
      <c r="BK63" s="8">
        <f t="shared" si="71"/>
        <v>100915.92141572923</v>
      </c>
      <c r="BL63" s="8">
        <f t="shared" si="72"/>
        <v>100915.92141572923</v>
      </c>
      <c r="BM63" s="8">
        <f t="shared" si="75"/>
        <v>100915.92141572923</v>
      </c>
      <c r="BN63" s="8">
        <f t="shared" si="76"/>
        <v>100915.92141572923</v>
      </c>
      <c r="BO63" s="8">
        <f t="shared" si="77"/>
        <v>100915.92141572923</v>
      </c>
      <c r="BP63" s="8">
        <f>$B63/12</f>
        <v>100915.92141572923</v>
      </c>
      <c r="BQ63" s="8">
        <f>$B63/12</f>
        <v>100915.92141572923</v>
      </c>
      <c r="BR63" s="8">
        <f>$B63/12</f>
        <v>100915.92141572923</v>
      </c>
      <c r="BS63" s="8">
        <f t="shared" si="78"/>
        <v>100915.92141572923</v>
      </c>
      <c r="BT63" s="8">
        <f t="shared" si="78"/>
        <v>100915.92141572923</v>
      </c>
      <c r="BU63" s="8">
        <f t="shared" si="78"/>
        <v>100915.92141572923</v>
      </c>
      <c r="BV63" s="8">
        <f t="shared" si="78"/>
        <v>100915.92141572923</v>
      </c>
    </row>
  </sheetData>
  <sheetProtection password="CB05" sheet="1" objects="1" scenarios="1"/>
  <phoneticPr fontId="0" type="noConversion"/>
  <printOptions gridLines="1" gridLinesSet="0"/>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topLeftCell="A34" zoomScale="75" workbookViewId="0">
      <selection activeCell="B43" sqref="B43"/>
    </sheetView>
  </sheetViews>
  <sheetFormatPr defaultRowHeight="12.75" x14ac:dyDescent="0.2"/>
  <cols>
    <col min="1" max="1" width="33.7109375" customWidth="1"/>
    <col min="2" max="2" width="34.7109375" customWidth="1"/>
    <col min="3" max="3" width="31.5703125" customWidth="1"/>
    <col min="4" max="4" width="26.28515625" customWidth="1"/>
    <col min="5" max="8" width="23.7109375" customWidth="1"/>
    <col min="9" max="10" width="29.85546875" customWidth="1"/>
    <col min="11" max="11" width="25.140625" customWidth="1"/>
  </cols>
  <sheetData>
    <row r="1" spans="1:11" ht="25.9" customHeight="1" thickBot="1" x14ac:dyDescent="0.3">
      <c r="A1" s="133" t="s">
        <v>28</v>
      </c>
      <c r="B1" s="165">
        <v>1000000</v>
      </c>
      <c r="C1" s="116"/>
      <c r="G1" s="84"/>
    </row>
    <row r="2" spans="1:11" ht="26.45" customHeight="1" thickBot="1" x14ac:dyDescent="0.3">
      <c r="A2" s="167" t="s">
        <v>29</v>
      </c>
      <c r="B2" s="109">
        <v>70</v>
      </c>
      <c r="C2" s="79"/>
      <c r="D2" s="128" t="s">
        <v>30</v>
      </c>
      <c r="E2" s="56" t="s">
        <v>31</v>
      </c>
      <c r="F2" s="29" t="s">
        <v>32</v>
      </c>
      <c r="G2" s="84"/>
    </row>
    <row r="3" spans="1:11" ht="18" customHeight="1" x14ac:dyDescent="0.2">
      <c r="A3" s="160" t="s">
        <v>33</v>
      </c>
      <c r="B3" s="166">
        <f>B2*B5</f>
        <v>28</v>
      </c>
      <c r="C3" s="79"/>
      <c r="D3" s="55" t="s">
        <v>34</v>
      </c>
      <c r="E3" s="121">
        <f>Staffing!F19/Staffing!P19</f>
        <v>95.585279517698353</v>
      </c>
      <c r="F3" s="121">
        <f>'Med Only'!E14/'Med Only'!I14</f>
        <v>401.36617876557096</v>
      </c>
      <c r="G3" s="84"/>
    </row>
    <row r="4" spans="1:11" ht="21" customHeight="1" thickBot="1" x14ac:dyDescent="0.25">
      <c r="A4" s="131" t="s">
        <v>35</v>
      </c>
      <c r="B4" s="117">
        <f>B2*B6</f>
        <v>42</v>
      </c>
      <c r="C4" s="79"/>
      <c r="D4" s="55" t="s">
        <v>36</v>
      </c>
      <c r="E4" s="121">
        <f>Staffing!F31/Staffing!P31</f>
        <v>110.98855166910828</v>
      </c>
      <c r="F4" s="121">
        <f>'Med Only'!E26/'Med Only'!I26</f>
        <v>385.75038831237953</v>
      </c>
      <c r="G4" s="84"/>
    </row>
    <row r="5" spans="1:11" ht="21" customHeight="1" thickBot="1" x14ac:dyDescent="0.3">
      <c r="A5" s="130" t="s">
        <v>37</v>
      </c>
      <c r="B5" s="78">
        <v>0.4</v>
      </c>
      <c r="C5" s="80"/>
      <c r="D5" s="55" t="s">
        <v>38</v>
      </c>
      <c r="E5" s="121">
        <f>Staffing!F43/Staffing!P43</f>
        <v>113.73754330304135</v>
      </c>
      <c r="F5" s="121">
        <f>'Med Only'!E38/'Med Only'!I38</f>
        <v>385.6517005138661</v>
      </c>
      <c r="G5" s="84"/>
      <c r="H5" s="108"/>
    </row>
    <row r="6" spans="1:11" ht="25.15" customHeight="1" x14ac:dyDescent="0.2">
      <c r="A6" s="127" t="s">
        <v>39</v>
      </c>
      <c r="B6" s="118">
        <f>1-B5</f>
        <v>0.6</v>
      </c>
      <c r="C6" s="79"/>
      <c r="D6" s="55" t="s">
        <v>40</v>
      </c>
      <c r="E6" s="121">
        <f>Staffing!F55/Staffing!P55</f>
        <v>114.51410351858462</v>
      </c>
      <c r="F6" s="121">
        <f>'Med Only'!E50/'Med Only'!I50</f>
        <v>385.65092502210325</v>
      </c>
      <c r="G6" s="84"/>
    </row>
    <row r="7" spans="1:11" ht="19.899999999999999" customHeight="1" x14ac:dyDescent="0.2">
      <c r="A7" s="83"/>
      <c r="B7" s="82"/>
      <c r="C7" s="79"/>
      <c r="D7" s="55" t="s">
        <v>41</v>
      </c>
      <c r="E7" s="121">
        <f>Staffing!F67/Staffing!P67</f>
        <v>114.7589416560041</v>
      </c>
      <c r="F7" s="121">
        <f>'Med Only'!E62/'Med Only'!I62</f>
        <v>385.65091891887653</v>
      </c>
      <c r="G7" s="84"/>
    </row>
    <row r="8" spans="1:11" ht="24" customHeight="1" thickBot="1" x14ac:dyDescent="0.3">
      <c r="A8" s="83"/>
      <c r="B8" s="125" t="s">
        <v>42</v>
      </c>
      <c r="E8" s="81"/>
      <c r="F8" s="84"/>
      <c r="G8" s="84"/>
    </row>
    <row r="9" spans="1:11" ht="28.15" customHeight="1" thickBot="1" x14ac:dyDescent="0.3">
      <c r="A9" s="127" t="s">
        <v>43</v>
      </c>
      <c r="B9" s="161">
        <v>8.5000000000000006E-2</v>
      </c>
      <c r="C9" s="158" t="s">
        <v>44</v>
      </c>
      <c r="D9" s="159" t="s">
        <v>45</v>
      </c>
      <c r="E9" s="110"/>
      <c r="F9" s="110"/>
      <c r="G9" s="84"/>
      <c r="I9">
        <f>20054.22*610</f>
        <v>12233074.200000001</v>
      </c>
      <c r="J9">
        <v>21397</v>
      </c>
      <c r="K9" s="111">
        <v>19523.738264409072</v>
      </c>
    </row>
    <row r="10" spans="1:11" ht="22.9" customHeight="1" thickBot="1" x14ac:dyDescent="0.3">
      <c r="A10" s="127" t="s">
        <v>46</v>
      </c>
      <c r="B10" s="162">
        <f>'Loss Ratio'!B12</f>
        <v>0.6556079411011515</v>
      </c>
      <c r="C10" s="163">
        <v>0.65</v>
      </c>
      <c r="D10" s="66">
        <v>0.33</v>
      </c>
      <c r="E10" s="110"/>
      <c r="F10" s="110"/>
      <c r="G10" s="84"/>
      <c r="I10">
        <v>403660</v>
      </c>
      <c r="J10">
        <f>610*J9</f>
        <v>13052170</v>
      </c>
      <c r="K10">
        <f>K9*610</f>
        <v>11909480.341289533</v>
      </c>
    </row>
    <row r="11" spans="1:11" ht="21.6" customHeight="1" thickBot="1" x14ac:dyDescent="0.3">
      <c r="A11" s="130" t="s">
        <v>47</v>
      </c>
      <c r="B11" s="119">
        <f>'Closure Rate'!E49</f>
        <v>0.98593264280213488</v>
      </c>
      <c r="C11" s="164">
        <v>0.94</v>
      </c>
      <c r="D11" s="120">
        <f>D10*3</f>
        <v>0.99</v>
      </c>
      <c r="E11" s="110"/>
      <c r="F11" s="110"/>
      <c r="G11" s="84"/>
      <c r="I11" s="8">
        <f>I9+I10</f>
        <v>12636734.200000001</v>
      </c>
      <c r="J11">
        <v>403660</v>
      </c>
      <c r="K11">
        <v>403660</v>
      </c>
    </row>
    <row r="12" spans="1:11" ht="26.45" customHeight="1" x14ac:dyDescent="0.2">
      <c r="A12" s="127" t="s">
        <v>5</v>
      </c>
      <c r="B12" s="40">
        <v>450</v>
      </c>
      <c r="C12" s="40" t="s">
        <v>48</v>
      </c>
      <c r="D12" s="110"/>
      <c r="E12" s="110"/>
      <c r="F12" s="110"/>
      <c r="G12" s="80"/>
      <c r="I12" s="8">
        <v>14500000</v>
      </c>
      <c r="J12">
        <f>J10+J11</f>
        <v>13455830</v>
      </c>
      <c r="K12" s="8">
        <f>SUM(K10:K11)</f>
        <v>12313140.341289533</v>
      </c>
    </row>
    <row r="13" spans="1:11" ht="23.45" customHeight="1" x14ac:dyDescent="0.25">
      <c r="A13" s="155" t="s">
        <v>49</v>
      </c>
      <c r="B13" s="43">
        <v>15849.31</v>
      </c>
      <c r="C13" s="122">
        <f>'Loss Ratio'!B6</f>
        <v>0.46268068000000001</v>
      </c>
      <c r="D13" s="110"/>
      <c r="E13" s="110"/>
      <c r="F13" s="110"/>
      <c r="G13" s="84"/>
      <c r="I13" s="115">
        <f>I12-I11</f>
        <v>1863265.7999999989</v>
      </c>
      <c r="J13" s="9">
        <f>I12-J12</f>
        <v>1044170</v>
      </c>
      <c r="K13" s="9">
        <f>I12-K12</f>
        <v>2186859.6587104667</v>
      </c>
    </row>
    <row r="14" spans="1:11" ht="26.45" customHeight="1" x14ac:dyDescent="0.25">
      <c r="A14" s="156" t="s">
        <v>50</v>
      </c>
      <c r="B14" s="40">
        <v>21653.07</v>
      </c>
      <c r="C14" s="114"/>
      <c r="D14" s="110"/>
      <c r="E14" s="110"/>
      <c r="F14" s="110"/>
      <c r="G14" s="84"/>
      <c r="I14" s="4"/>
      <c r="J14" s="4"/>
    </row>
    <row r="15" spans="1:11" ht="19.149999999999999" customHeight="1" thickBot="1" x14ac:dyDescent="0.25">
      <c r="A15" s="157" t="s">
        <v>51</v>
      </c>
      <c r="B15" s="42">
        <v>1.05</v>
      </c>
      <c r="C15" s="113"/>
      <c r="D15" s="84"/>
      <c r="E15" s="84"/>
      <c r="F15" s="84"/>
      <c r="G15" s="84"/>
      <c r="I15" s="4"/>
    </row>
    <row r="16" spans="1:11" ht="23.45" customHeight="1" thickBot="1" x14ac:dyDescent="0.3">
      <c r="A16" s="130" t="s">
        <v>52</v>
      </c>
      <c r="B16" s="123">
        <f>'Loss Ratio'!E27</f>
        <v>22236.27368091773</v>
      </c>
      <c r="C16" s="124">
        <f>'Loss Ratio'!D33</f>
        <v>0.64151566306569641</v>
      </c>
      <c r="D16" s="84"/>
      <c r="E16" s="84"/>
      <c r="F16" s="84"/>
      <c r="G16" s="84"/>
      <c r="I16" s="4"/>
    </row>
    <row r="17" spans="1:12" ht="18" customHeight="1" x14ac:dyDescent="0.2">
      <c r="A17" s="83"/>
      <c r="B17" s="84"/>
      <c r="C17" s="79"/>
      <c r="D17" s="84"/>
      <c r="E17" s="84"/>
      <c r="F17" s="84"/>
      <c r="G17" s="84"/>
      <c r="I17" s="1"/>
    </row>
    <row r="18" spans="1:12" ht="13.5" thickBot="1" x14ac:dyDescent="0.25">
      <c r="A18" s="83"/>
      <c r="B18" s="84"/>
      <c r="C18" s="84"/>
      <c r="D18" s="84"/>
      <c r="E18" s="84"/>
      <c r="F18" s="84"/>
      <c r="G18" s="84"/>
    </row>
    <row r="19" spans="1:12" ht="16.899999999999999" customHeight="1" thickBot="1" x14ac:dyDescent="0.3">
      <c r="A19" s="141" t="s">
        <v>53</v>
      </c>
      <c r="B19" s="151" t="s">
        <v>54</v>
      </c>
      <c r="C19" s="152" t="s">
        <v>55</v>
      </c>
      <c r="D19" s="153" t="s">
        <v>56</v>
      </c>
      <c r="E19" s="154" t="s">
        <v>57</v>
      </c>
      <c r="F19" s="150" t="s">
        <v>58</v>
      </c>
      <c r="G19" s="84"/>
    </row>
    <row r="20" spans="1:12" ht="19.899999999999999" customHeight="1" x14ac:dyDescent="0.2">
      <c r="A20" s="137" t="s">
        <v>59</v>
      </c>
      <c r="B20" s="142">
        <f>'Phase 1'!E1</f>
        <v>3.5400000000000005</v>
      </c>
      <c r="C20" s="143">
        <v>40</v>
      </c>
      <c r="D20" s="144">
        <v>4</v>
      </c>
      <c r="E20" s="146">
        <f>C20*D20</f>
        <v>160</v>
      </c>
      <c r="F20" s="148">
        <f>E20/B20</f>
        <v>45.197740112994346</v>
      </c>
      <c r="G20" s="84"/>
    </row>
    <row r="21" spans="1:12" ht="19.899999999999999" customHeight="1" x14ac:dyDescent="0.2">
      <c r="A21" s="137" t="s">
        <v>60</v>
      </c>
      <c r="B21" s="138">
        <f>'Phase 2'!E1</f>
        <v>7.2300000000000013</v>
      </c>
      <c r="C21" s="134">
        <v>40</v>
      </c>
      <c r="D21" s="145">
        <v>26</v>
      </c>
      <c r="E21" s="146">
        <f>C21*D21</f>
        <v>1040</v>
      </c>
      <c r="F21" s="148">
        <f>E21/B21</f>
        <v>143.84508990318116</v>
      </c>
      <c r="G21" s="84"/>
    </row>
    <row r="22" spans="1:12" ht="19.899999999999999" customHeight="1" x14ac:dyDescent="0.2">
      <c r="A22" s="137" t="s">
        <v>61</v>
      </c>
      <c r="B22" s="139">
        <f>Variables!B19</f>
        <v>1.5</v>
      </c>
      <c r="C22" s="134">
        <f>Variables!B20</f>
        <v>40</v>
      </c>
      <c r="D22" s="145">
        <f>Variables!B21</f>
        <v>12</v>
      </c>
      <c r="E22" s="146">
        <f>C22*D22</f>
        <v>480</v>
      </c>
      <c r="F22" s="148">
        <f>E22/B22</f>
        <v>320</v>
      </c>
      <c r="G22" s="84"/>
    </row>
    <row r="23" spans="1:12" ht="19.899999999999999" customHeight="1" thickBot="1" x14ac:dyDescent="0.25">
      <c r="A23" s="137" t="s">
        <v>62</v>
      </c>
      <c r="B23" s="138">
        <f>'Phase 3'!E1</f>
        <v>18.489999999999998</v>
      </c>
      <c r="C23" s="134">
        <v>40</v>
      </c>
      <c r="D23" s="145">
        <f>Variables!B24</f>
        <v>50</v>
      </c>
      <c r="E23" s="147">
        <f>C23*D23</f>
        <v>2000</v>
      </c>
      <c r="F23" s="149">
        <f>E23/B23</f>
        <v>108.1665765278529</v>
      </c>
      <c r="G23" s="84"/>
    </row>
    <row r="24" spans="1:12" ht="19.899999999999999" customHeight="1" thickBot="1" x14ac:dyDescent="0.25">
      <c r="A24" s="137" t="s">
        <v>18</v>
      </c>
      <c r="B24" s="135">
        <f>Variables!B26</f>
        <v>0.5</v>
      </c>
      <c r="C24" s="84"/>
      <c r="D24" s="84"/>
      <c r="E24" s="85"/>
      <c r="F24" s="86"/>
      <c r="G24" s="84"/>
    </row>
    <row r="25" spans="1:12" ht="22.15" customHeight="1" thickBot="1" x14ac:dyDescent="0.3">
      <c r="A25" s="244" t="s">
        <v>19</v>
      </c>
      <c r="B25" s="136">
        <f>Variables!B27</f>
        <v>1</v>
      </c>
      <c r="C25" s="84"/>
      <c r="D25" s="84"/>
      <c r="E25" s="84"/>
      <c r="F25" s="84"/>
      <c r="G25" s="84"/>
    </row>
    <row r="26" spans="1:12" ht="13.5" thickBot="1" x14ac:dyDescent="0.25">
      <c r="A26" s="67"/>
      <c r="B26" s="112"/>
      <c r="C26" s="110"/>
      <c r="D26" s="84"/>
      <c r="E26" s="84"/>
      <c r="F26" s="84"/>
      <c r="G26" s="84"/>
    </row>
    <row r="27" spans="1:12" ht="42" customHeight="1" thickBot="1" x14ac:dyDescent="0.3">
      <c r="A27" s="179" t="s">
        <v>63</v>
      </c>
      <c r="B27" s="168"/>
      <c r="C27" s="84"/>
      <c r="D27" s="182" t="s">
        <v>64</v>
      </c>
      <c r="E27" s="184" t="s">
        <v>65</v>
      </c>
      <c r="F27" s="187" t="s">
        <v>66</v>
      </c>
      <c r="G27" s="188" t="s">
        <v>67</v>
      </c>
      <c r="H27" s="88"/>
      <c r="I27" s="169"/>
      <c r="J27" s="169"/>
      <c r="K27" s="169"/>
      <c r="L27" s="176"/>
    </row>
    <row r="28" spans="1:12" ht="42" customHeight="1" thickBot="1" x14ac:dyDescent="0.3">
      <c r="A28" s="196">
        <f>Variables!B30</f>
        <v>3.9E-2</v>
      </c>
      <c r="B28" s="181" t="s">
        <v>68</v>
      </c>
      <c r="C28" s="84"/>
      <c r="D28" s="183" t="s">
        <v>20</v>
      </c>
      <c r="E28" s="185" t="s">
        <v>69</v>
      </c>
      <c r="F28" s="186" t="s">
        <v>70</v>
      </c>
      <c r="G28" s="189">
        <v>2000</v>
      </c>
      <c r="H28" s="79"/>
      <c r="I28" s="84"/>
      <c r="J28" s="180" t="s">
        <v>71</v>
      </c>
      <c r="K28" s="195">
        <v>0.22</v>
      </c>
      <c r="L28" s="172"/>
    </row>
    <row r="29" spans="1:12" ht="42" customHeight="1" thickBot="1" x14ac:dyDescent="0.3">
      <c r="A29" s="197" t="s">
        <v>72</v>
      </c>
      <c r="B29" s="194">
        <f>Staffing!C19</f>
        <v>6578091.3799890457</v>
      </c>
      <c r="C29" s="84"/>
      <c r="D29" s="190">
        <f>Variables!B29</f>
        <v>599.99</v>
      </c>
      <c r="E29" s="202">
        <f>-D33*2</f>
        <v>-7.4998750000000003</v>
      </c>
      <c r="F29" s="203">
        <f>F30-D33</f>
        <v>7.4998750000000012</v>
      </c>
      <c r="G29" s="204">
        <f t="shared" ref="G29:G34" si="0">F29*G$28</f>
        <v>14999.750000000002</v>
      </c>
      <c r="H29" s="210" t="s">
        <v>73</v>
      </c>
      <c r="I29" s="84"/>
      <c r="J29" s="180" t="s">
        <v>74</v>
      </c>
      <c r="K29" s="195">
        <v>0.5</v>
      </c>
      <c r="L29" s="172"/>
    </row>
    <row r="30" spans="1:12" ht="42" customHeight="1" thickBot="1" x14ac:dyDescent="0.3">
      <c r="A30" s="197" t="s">
        <v>75</v>
      </c>
      <c r="B30" s="194">
        <f>Staffing!C31</f>
        <v>19056113.57103359</v>
      </c>
      <c r="C30" s="84"/>
      <c r="D30" s="191" t="s">
        <v>76</v>
      </c>
      <c r="E30" s="205">
        <f>-D33</f>
        <v>-3.7499375000000001</v>
      </c>
      <c r="F30" s="206">
        <f>F31-D33</f>
        <v>11.249812500000001</v>
      </c>
      <c r="G30" s="207">
        <f t="shared" si="0"/>
        <v>22499.625</v>
      </c>
      <c r="H30" s="211" t="s">
        <v>77</v>
      </c>
      <c r="I30" s="84"/>
      <c r="J30" s="180" t="s">
        <v>78</v>
      </c>
      <c r="K30" s="195">
        <v>0.8</v>
      </c>
      <c r="L30" s="172"/>
    </row>
    <row r="31" spans="1:12" ht="42" customHeight="1" thickBot="1" x14ac:dyDescent="0.3">
      <c r="A31" s="197" t="s">
        <v>79</v>
      </c>
      <c r="B31" s="194">
        <f>Staffing!C43</f>
        <v>12973458.726778787</v>
      </c>
      <c r="C31" s="84"/>
      <c r="D31" s="192">
        <f>D29/40</f>
        <v>14.999750000000001</v>
      </c>
      <c r="E31" s="208"/>
      <c r="F31" s="203">
        <f>D29/40</f>
        <v>14.999750000000001</v>
      </c>
      <c r="G31" s="204">
        <f t="shared" si="0"/>
        <v>29999.5</v>
      </c>
      <c r="H31" s="210" t="s">
        <v>80</v>
      </c>
      <c r="I31" s="84"/>
      <c r="J31" s="180" t="s">
        <v>81</v>
      </c>
      <c r="K31" s="195">
        <v>0.2</v>
      </c>
      <c r="L31" s="172"/>
    </row>
    <row r="32" spans="1:12" ht="42" customHeight="1" thickBot="1" x14ac:dyDescent="0.3">
      <c r="A32" s="197" t="s">
        <v>82</v>
      </c>
      <c r="B32" s="194">
        <f>Staffing!C55</f>
        <v>13488566.437734742</v>
      </c>
      <c r="C32" s="84"/>
      <c r="D32" s="191" t="s">
        <v>83</v>
      </c>
      <c r="E32" s="205">
        <f>D33</f>
        <v>3.7499375000000001</v>
      </c>
      <c r="F32" s="206">
        <f>F31+D33</f>
        <v>18.7496875</v>
      </c>
      <c r="G32" s="207">
        <f t="shared" si="0"/>
        <v>37499.375</v>
      </c>
      <c r="H32" s="211" t="s">
        <v>80</v>
      </c>
      <c r="I32" s="84"/>
      <c r="J32" s="213" t="s">
        <v>84</v>
      </c>
      <c r="K32" s="198">
        <v>0.25</v>
      </c>
      <c r="L32" s="172"/>
    </row>
    <row r="33" spans="1:13" ht="42" customHeight="1" thickBot="1" x14ac:dyDescent="0.3">
      <c r="A33" s="227" t="s">
        <v>85</v>
      </c>
      <c r="B33" s="228">
        <f>Staffing!C67</f>
        <v>14024126.362666499</v>
      </c>
      <c r="C33" s="84"/>
      <c r="D33" s="193">
        <f>D31/4</f>
        <v>3.7499375000000001</v>
      </c>
      <c r="E33" s="202">
        <f>D33*2</f>
        <v>7.4998750000000003</v>
      </c>
      <c r="F33" s="203">
        <f>F32+D33</f>
        <v>22.499625000000002</v>
      </c>
      <c r="G33" s="204">
        <f t="shared" si="0"/>
        <v>44999.25</v>
      </c>
      <c r="H33" s="210" t="s">
        <v>86</v>
      </c>
      <c r="I33" s="79"/>
      <c r="J33" s="79"/>
      <c r="K33" s="79"/>
      <c r="L33" s="172"/>
    </row>
    <row r="34" spans="1:13" ht="42" customHeight="1" thickBot="1" x14ac:dyDescent="0.3">
      <c r="A34" s="79"/>
      <c r="B34" s="79"/>
      <c r="C34" s="84"/>
      <c r="D34" s="79"/>
      <c r="E34" s="226">
        <f>D33*3</f>
        <v>11.249812500000001</v>
      </c>
      <c r="F34" s="209">
        <f>F33+D33</f>
        <v>26.249562500000003</v>
      </c>
      <c r="G34" s="200">
        <f t="shared" si="0"/>
        <v>52499.125000000007</v>
      </c>
      <c r="H34" s="212" t="s">
        <v>87</v>
      </c>
      <c r="I34" s="79"/>
      <c r="J34" s="79"/>
      <c r="K34" s="79"/>
      <c r="L34" s="172"/>
    </row>
    <row r="35" spans="1:13" ht="42" customHeight="1" thickBot="1" x14ac:dyDescent="0.25">
      <c r="A35" s="79"/>
      <c r="B35" s="79"/>
      <c r="C35" s="79"/>
      <c r="D35" s="79"/>
      <c r="E35" s="88"/>
      <c r="F35" s="79"/>
      <c r="G35" s="79"/>
      <c r="H35" s="79"/>
      <c r="I35" s="79"/>
      <c r="J35" s="79"/>
      <c r="K35" s="79"/>
      <c r="L35" s="172"/>
    </row>
    <row r="36" spans="1:13" ht="42" customHeight="1" x14ac:dyDescent="0.25">
      <c r="A36" s="177"/>
      <c r="B36" s="229" t="s">
        <v>88</v>
      </c>
      <c r="C36" s="229" t="s">
        <v>89</v>
      </c>
      <c r="D36" s="199" t="s">
        <v>90</v>
      </c>
      <c r="E36" s="199" t="s">
        <v>91</v>
      </c>
      <c r="F36" s="173" t="s">
        <v>92</v>
      </c>
      <c r="G36" s="230" t="s">
        <v>93</v>
      </c>
      <c r="H36" s="174"/>
      <c r="I36" s="174"/>
      <c r="J36" s="174"/>
      <c r="K36" s="174"/>
      <c r="L36" s="175"/>
      <c r="M36" s="77"/>
    </row>
    <row r="37" spans="1:13" ht="42" customHeight="1" x14ac:dyDescent="0.25">
      <c r="A37" s="171"/>
      <c r="B37" s="214">
        <f>G32/12</f>
        <v>3124.9479166666665</v>
      </c>
      <c r="C37" s="215">
        <f>(G31+G32)/(2*12)</f>
        <v>2812.453125</v>
      </c>
      <c r="D37" s="215">
        <f>SUM(G32:G34)/(3*12)</f>
        <v>3749.9375</v>
      </c>
      <c r="E37" s="215">
        <f>SUM(G29:G30)/(2*12)</f>
        <v>1562.4739583333333</v>
      </c>
      <c r="F37" s="218">
        <f>SUM(G29:G31)/(12*3)</f>
        <v>1874.96875</v>
      </c>
      <c r="G37" s="219">
        <f>SUM(B37:F37)</f>
        <v>13124.78125</v>
      </c>
      <c r="H37" s="79"/>
      <c r="I37" s="79"/>
      <c r="J37" s="79"/>
      <c r="K37" s="79"/>
      <c r="L37" s="172"/>
    </row>
    <row r="38" spans="1:13" ht="42" customHeight="1" x14ac:dyDescent="0.25">
      <c r="A38" s="178" t="s">
        <v>94</v>
      </c>
      <c r="B38" s="216">
        <f>Staffing!J19</f>
        <v>0.63069440790648934</v>
      </c>
      <c r="C38" s="216">
        <f>Staffing!L19</f>
        <v>0.60597932582686076</v>
      </c>
      <c r="D38" s="216">
        <f>Staffing!N19</f>
        <v>0.20146507683126208</v>
      </c>
      <c r="E38" s="216">
        <f>Staffing!Q19</f>
        <v>0.71906940528230612</v>
      </c>
      <c r="F38" s="217">
        <f>Staffing!R19</f>
        <v>0.17957793761920909</v>
      </c>
      <c r="G38" s="220">
        <f>SUM(B38:F38)</f>
        <v>2.3367861534661274</v>
      </c>
      <c r="H38" s="79"/>
      <c r="I38" s="79"/>
      <c r="J38" s="79"/>
      <c r="K38" s="79"/>
      <c r="L38" s="172"/>
    </row>
    <row r="39" spans="1:13" ht="42" customHeight="1" x14ac:dyDescent="0.25">
      <c r="A39" s="178" t="s">
        <v>95</v>
      </c>
      <c r="B39" s="216">
        <f>Staffing!J31</f>
        <v>0.65573596078851693</v>
      </c>
      <c r="C39" s="216">
        <f>Staffing!L31</f>
        <v>1.3516179914085487</v>
      </c>
      <c r="D39" s="216">
        <f>Staffing!N31</f>
        <v>0.44936157205376592</v>
      </c>
      <c r="E39" s="216">
        <f>Staffing!Q31</f>
        <v>1.2283577621254156</v>
      </c>
      <c r="F39" s="217">
        <f>Staffing!R31</f>
        <v>0.23215738236153688</v>
      </c>
      <c r="G39" s="220">
        <f>SUM(B39:F39)</f>
        <v>3.9172306687377838</v>
      </c>
      <c r="H39" s="79"/>
      <c r="I39" s="79"/>
      <c r="J39" s="79"/>
      <c r="K39" s="79"/>
      <c r="L39" s="172"/>
    </row>
    <row r="40" spans="1:13" ht="42" customHeight="1" x14ac:dyDescent="0.25">
      <c r="A40" s="178" t="s">
        <v>96</v>
      </c>
      <c r="B40" s="216">
        <f>Staffing!J43</f>
        <v>0.68177178183414644</v>
      </c>
      <c r="C40" s="216">
        <f>Staffing!L43</f>
        <v>1.6537894996506288</v>
      </c>
      <c r="D40" s="216">
        <f>Staffing!N43</f>
        <v>0.54982210516047247</v>
      </c>
      <c r="E40" s="216">
        <f>Staffing!Q43</f>
        <v>1.4426916933226239</v>
      </c>
      <c r="F40" s="217">
        <f>Staffing!R43</f>
        <v>0.24174702843421952</v>
      </c>
      <c r="G40" s="220">
        <f>SUM(B40:F40)</f>
        <v>4.5698221084020911</v>
      </c>
      <c r="H40" s="79"/>
      <c r="I40" s="79"/>
      <c r="J40" s="79"/>
      <c r="K40" s="79"/>
      <c r="L40" s="172"/>
    </row>
    <row r="41" spans="1:13" ht="42" customHeight="1" x14ac:dyDescent="0.25">
      <c r="A41" s="178" t="s">
        <v>97</v>
      </c>
      <c r="B41" s="216">
        <f>Staffing!J55</f>
        <v>0.70884134819504763</v>
      </c>
      <c r="C41" s="216">
        <f>Staffing!L55</f>
        <v>1.8050362203683945</v>
      </c>
      <c r="D41" s="216">
        <f>Staffing!N55</f>
        <v>0.60010588698471767</v>
      </c>
      <c r="E41" s="216">
        <f>Staffing!Q55</f>
        <v>1.5569917277740799</v>
      </c>
      <c r="F41" s="217">
        <f>Staffing!R55</f>
        <v>0.25134857272661082</v>
      </c>
      <c r="G41" s="220">
        <f>SUM(B41:F41)</f>
        <v>4.9223237560488506</v>
      </c>
      <c r="H41" s="79"/>
      <c r="I41" s="79"/>
      <c r="J41" s="79"/>
      <c r="K41" s="79"/>
      <c r="L41" s="172"/>
    </row>
    <row r="42" spans="1:13" ht="42" customHeight="1" thickBot="1" x14ac:dyDescent="0.3">
      <c r="A42" s="178" t="s">
        <v>98</v>
      </c>
      <c r="B42" s="235">
        <f>Staffing!J67</f>
        <v>0.73698570445264389</v>
      </c>
      <c r="C42" s="238">
        <f>Staffing!L67</f>
        <v>1.9061789618048537</v>
      </c>
      <c r="D42" s="238">
        <f>Staffing!N67</f>
        <v>0.6337320014509441</v>
      </c>
      <c r="E42" s="216">
        <f>Staffing!Q67</f>
        <v>1.6384483338542208</v>
      </c>
      <c r="F42" s="217">
        <f>Staffing!R67</f>
        <v>0.26132832552275009</v>
      </c>
      <c r="G42" s="221">
        <f>SUM(G38:G41)</f>
        <v>15.746162686654852</v>
      </c>
      <c r="I42" s="79"/>
      <c r="J42" s="79"/>
      <c r="K42" s="79"/>
      <c r="L42" s="172"/>
    </row>
    <row r="43" spans="1:13" ht="42" customHeight="1" thickBot="1" x14ac:dyDescent="0.3">
      <c r="A43" s="236" t="s">
        <v>99</v>
      </c>
      <c r="B43" s="237">
        <f>(I51-D51)/Staffing!E67</f>
        <v>632.23373453309932</v>
      </c>
      <c r="C43" s="239" t="s">
        <v>100</v>
      </c>
      <c r="D43" s="240">
        <f>D51/'Med Only'!B63</f>
        <v>9.406802162009285</v>
      </c>
      <c r="E43" s="79"/>
      <c r="F43" s="79"/>
      <c r="G43" s="88"/>
      <c r="I43" s="79"/>
      <c r="J43" s="79"/>
      <c r="K43" s="79"/>
      <c r="L43" s="172"/>
    </row>
    <row r="44" spans="1:13" s="84" customFormat="1" ht="42" customHeight="1" x14ac:dyDescent="0.25">
      <c r="A44" s="231"/>
      <c r="B44" s="232"/>
      <c r="C44" s="233"/>
      <c r="D44" s="234"/>
      <c r="E44" s="79"/>
      <c r="F44" s="79"/>
      <c r="G44" s="79"/>
      <c r="I44" s="79"/>
      <c r="J44" s="79"/>
      <c r="K44" s="79"/>
      <c r="L44" s="172"/>
    </row>
    <row r="45" spans="1:13" ht="42" customHeight="1" x14ac:dyDescent="0.25">
      <c r="A45" s="170"/>
      <c r="B45" s="127" t="s">
        <v>101</v>
      </c>
      <c r="C45" s="127" t="s">
        <v>102</v>
      </c>
      <c r="D45" s="127" t="s">
        <v>103</v>
      </c>
      <c r="E45" s="127" t="s">
        <v>104</v>
      </c>
      <c r="F45" s="128" t="s">
        <v>105</v>
      </c>
      <c r="G45" s="128" t="s">
        <v>106</v>
      </c>
      <c r="H45" s="128" t="s">
        <v>107</v>
      </c>
      <c r="I45" s="129" t="s">
        <v>108</v>
      </c>
      <c r="J45" s="127" t="s">
        <v>109</v>
      </c>
      <c r="K45" s="127" t="s">
        <v>110</v>
      </c>
      <c r="L45" s="241" t="s">
        <v>111</v>
      </c>
    </row>
    <row r="46" spans="1:13" ht="42" customHeight="1" x14ac:dyDescent="0.25">
      <c r="A46" s="126" t="s">
        <v>112</v>
      </c>
      <c r="B46" s="222">
        <f>SUM('Adjuster Cost'!B5:B16)</f>
        <v>24084.166420007488</v>
      </c>
      <c r="C46" s="222">
        <f>SUM('Adjuster Cost'!C5:C16)</f>
        <v>10004.527059452072</v>
      </c>
      <c r="D46" s="222">
        <f>SUM('Adjuster Cost'!D5:D16)</f>
        <v>1877.5391863654957</v>
      </c>
      <c r="E46" s="201">
        <f>SUM('Adjuster Cost'!E5:E16)</f>
        <v>35966.232665825053</v>
      </c>
      <c r="F46" s="201">
        <f>SUM('Adjuster Cost'!F5:F16)</f>
        <v>7912.571186481513</v>
      </c>
      <c r="G46" s="201">
        <f>SUM('Adjuster Cost'!G5:G16)</f>
        <v>17983.116332912527</v>
      </c>
      <c r="H46" s="201">
        <f t="shared" ref="H46:H51" si="1">SUM(B45:G45)*K$32</f>
        <v>0</v>
      </c>
      <c r="I46" s="201">
        <f t="shared" ref="I46:I51" si="2">SUM(E46:H46)</f>
        <v>61861.920185219089</v>
      </c>
      <c r="J46" s="223">
        <f>SUM('Adjuster Cost'!I5:I16)</f>
        <v>197342.74139967136</v>
      </c>
      <c r="K46" s="201">
        <f>J46-I46</f>
        <v>135480.82121445227</v>
      </c>
      <c r="L46" s="242">
        <f t="shared" ref="L46:L51" si="3">K46/J46</f>
        <v>0.68652548481663023</v>
      </c>
    </row>
    <row r="47" spans="1:13" ht="42" customHeight="1" x14ac:dyDescent="0.25">
      <c r="A47" s="126" t="s">
        <v>113</v>
      </c>
      <c r="B47" s="222">
        <f>SUM('Adjuster Cost'!B17:B28)</f>
        <v>76205.846235603007</v>
      </c>
      <c r="C47" s="222">
        <f>SUM('Adjuster Cost'!C17:C28)</f>
        <v>19387.127088054316</v>
      </c>
      <c r="D47" s="222">
        <f>SUM('Adjuster Cost'!D17:D28)</f>
        <v>4972.998891549084</v>
      </c>
      <c r="E47" s="201">
        <f>SUM('Adjuster Cost'!E17:E28)</f>
        <v>100565.97221520641</v>
      </c>
      <c r="F47" s="201">
        <f>SUM('Adjuster Cost'!F17:F28)</f>
        <v>22124.513887345409</v>
      </c>
      <c r="G47" s="201">
        <f>SUM('Adjuster Cost'!G17:G28)</f>
        <v>50282.986107603203</v>
      </c>
      <c r="H47" s="201">
        <f t="shared" si="1"/>
        <v>24457.038212761036</v>
      </c>
      <c r="I47" s="201">
        <f t="shared" si="2"/>
        <v>197430.51042291604</v>
      </c>
      <c r="J47" s="223">
        <f>SUM('Adjuster Cost'!I17:I28)</f>
        <v>374340.66573133616</v>
      </c>
      <c r="K47" s="201">
        <f>J47-I47</f>
        <v>176910.15530842013</v>
      </c>
      <c r="L47" s="242">
        <f t="shared" si="3"/>
        <v>0.47259133592338143</v>
      </c>
    </row>
    <row r="48" spans="1:13" ht="42" customHeight="1" x14ac:dyDescent="0.25">
      <c r="A48" s="126" t="s">
        <v>114</v>
      </c>
      <c r="B48" s="222">
        <f>SUM('Adjuster Cost'!B29:B40)</f>
        <v>99902.821570127518</v>
      </c>
      <c r="C48" s="222">
        <f>SUM('Adjuster Cost'!C29:C40)</f>
        <v>25458.00640233509</v>
      </c>
      <c r="D48" s="222">
        <f>SUM('Adjuster Cost'!D29:D40)</f>
        <v>5342.049285074505</v>
      </c>
      <c r="E48" s="201">
        <f>SUM('Adjuster Cost'!E29:E40)</f>
        <v>130702.87725753713</v>
      </c>
      <c r="F48" s="201">
        <f>SUM('Adjuster Cost'!F29:F40)</f>
        <v>28754.632996658169</v>
      </c>
      <c r="G48" s="201">
        <f>SUM('Adjuster Cost'!G29:G40)</f>
        <v>65351.438628768563</v>
      </c>
      <c r="H48" s="201">
        <f t="shared" si="1"/>
        <v>68384.861106340351</v>
      </c>
      <c r="I48" s="201">
        <f t="shared" si="2"/>
        <v>293193.80998930422</v>
      </c>
      <c r="J48" s="223">
        <f>SUM('Adjuster Cost'!J29:J40)</f>
        <v>323852.32317459508</v>
      </c>
      <c r="K48" s="201">
        <f>J48-I48</f>
        <v>30658.513185290853</v>
      </c>
      <c r="L48" s="242">
        <f t="shared" si="3"/>
        <v>9.4668189762412952E-2</v>
      </c>
    </row>
    <row r="49" spans="1:12" ht="42" customHeight="1" x14ac:dyDescent="0.25">
      <c r="A49" s="126" t="s">
        <v>115</v>
      </c>
      <c r="B49" s="222">
        <f>SUM('Adjuster Cost'!B41:B52)</f>
        <v>110988.44818860185</v>
      </c>
      <c r="C49" s="222">
        <f>SUM('Adjuster Cost'!C41:C52)</f>
        <v>28294.472896070482</v>
      </c>
      <c r="D49" s="222">
        <f>SUM('Adjuster Cost'!D41:D52)</f>
        <v>5555.5580687742859</v>
      </c>
      <c r="E49" s="201">
        <f>SUM('Adjuster Cost'!E41:E52)</f>
        <v>144838.47915344662</v>
      </c>
      <c r="F49" s="201">
        <f>SUM('Adjuster Cost'!F41:F52)</f>
        <v>31864.465413758255</v>
      </c>
      <c r="G49" s="201">
        <f>SUM('Adjuster Cost'!G41:G52)</f>
        <v>72419.23957672331</v>
      </c>
      <c r="H49" s="201">
        <f t="shared" si="1"/>
        <v>88877.956535125239</v>
      </c>
      <c r="I49" s="201">
        <f t="shared" si="2"/>
        <v>338000.14067905338</v>
      </c>
      <c r="J49" s="223">
        <f>SUM('Adjuster Cost'!J41:J52)</f>
        <v>332237.75355531892</v>
      </c>
      <c r="K49" s="201">
        <f>J49-I49</f>
        <v>-5762.3871237344574</v>
      </c>
      <c r="L49" s="242">
        <f t="shared" si="3"/>
        <v>-1.7344167127517605E-2</v>
      </c>
    </row>
    <row r="50" spans="1:12" ht="42" customHeight="1" x14ac:dyDescent="0.25">
      <c r="A50" s="126" t="s">
        <v>116</v>
      </c>
      <c r="B50" s="222">
        <f>SUM('Adjuster Cost'!B53:B64)</f>
        <v>117846.94598519655</v>
      </c>
      <c r="C50" s="222">
        <f>SUM('Adjuster Cost'!C53:C64)</f>
        <v>30046.641271937318</v>
      </c>
      <c r="D50" s="222">
        <f>SUM('Adjuster Cost'!D53:D64)</f>
        <v>5776.1515066224711</v>
      </c>
      <c r="E50" s="201">
        <f>SUM('Adjuster Cost'!E53:E64)</f>
        <v>153669.73876375635</v>
      </c>
      <c r="F50" s="201">
        <f>SUM('Adjuster Cost'!F53:F64)</f>
        <v>33807.342528026398</v>
      </c>
      <c r="G50" s="201">
        <f>SUM('Adjuster Cost'!G53:G64)</f>
        <v>76834.869381878176</v>
      </c>
      <c r="H50" s="201">
        <f t="shared" si="1"/>
        <v>98490.165824343698</v>
      </c>
      <c r="I50" s="201">
        <f t="shared" si="2"/>
        <v>362802.11649800465</v>
      </c>
      <c r="J50" s="223">
        <f>SUM('Adjuster Cost'!I53:I64)</f>
        <v>420723.79087999492</v>
      </c>
      <c r="K50" s="201">
        <f>J50-I50</f>
        <v>57921.674381990277</v>
      </c>
      <c r="L50" s="242">
        <f t="shared" si="3"/>
        <v>0.1376714976370603</v>
      </c>
    </row>
    <row r="51" spans="1:12" ht="42" customHeight="1" thickBot="1" x14ac:dyDescent="0.3">
      <c r="A51" s="126" t="s">
        <v>117</v>
      </c>
      <c r="B51" s="222">
        <f>'Adjuster Cost'!B65</f>
        <v>429028.22839953634</v>
      </c>
      <c r="C51" s="222">
        <f>'Adjuster Cost'!C65</f>
        <v>113190.77471784932</v>
      </c>
      <c r="D51" s="222">
        <f>'Adjuster Cost'!D65</f>
        <v>23524.296938385844</v>
      </c>
      <c r="E51" s="201">
        <f>SUM(E46:E50)</f>
        <v>565743.3000557716</v>
      </c>
      <c r="F51" s="201">
        <f>SUM(F46:F50)</f>
        <v>124463.52601226975</v>
      </c>
      <c r="G51" s="201">
        <f>SUM(G46:G50)</f>
        <v>282871.6500278858</v>
      </c>
      <c r="H51" s="201">
        <f t="shared" si="1"/>
        <v>104495.42235935431</v>
      </c>
      <c r="I51" s="201">
        <f t="shared" si="2"/>
        <v>1077573.8984552815</v>
      </c>
      <c r="J51" s="224">
        <f>SUM(J46:J50)</f>
        <v>1648497.2747409164</v>
      </c>
      <c r="K51" s="225">
        <f>SUM(K46:K50)</f>
        <v>395208.77696641907</v>
      </c>
      <c r="L51" s="243">
        <f t="shared" si="3"/>
        <v>0.23973881123250959</v>
      </c>
    </row>
  </sheetData>
  <phoneticPr fontId="0" type="noConversion"/>
  <printOptions horizontalCentered="1" gridLines="1" gridLinesSet="0"/>
  <pageMargins left="0.75" right="0.75" top="1" bottom="1" header="0.5" footer="0.5"/>
  <pageSetup scale="29" orientation="landscape" r:id="rId1"/>
  <headerFooter alignWithMargins="0">
    <oddHeader>&amp;A</oddHeader>
    <oddFooter>Page &amp;P</oddFooter>
  </headerFooter>
  <rowBreaks count="1" manualBreakCount="1">
    <brk id="25" max="655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selection activeCell="A7" sqref="A7"/>
    </sheetView>
  </sheetViews>
  <sheetFormatPr defaultRowHeight="12.75" x14ac:dyDescent="0.2"/>
  <cols>
    <col min="1" max="1" width="50" customWidth="1"/>
    <col min="2" max="2" width="12.140625" customWidth="1"/>
    <col min="3" max="3" width="16.28515625" customWidth="1"/>
    <col min="4" max="4" width="16.7109375" customWidth="1"/>
    <col min="5" max="5" width="15.5703125" style="6" customWidth="1"/>
    <col min="6" max="6" width="15.28515625" customWidth="1"/>
    <col min="7" max="8" width="15.7109375" customWidth="1"/>
    <col min="9" max="9" width="16.140625" customWidth="1"/>
  </cols>
  <sheetData>
    <row r="1" spans="1:5" ht="25.15" customHeight="1" x14ac:dyDescent="0.2">
      <c r="A1" s="6" t="s">
        <v>118</v>
      </c>
      <c r="C1" s="8">
        <v>1000000</v>
      </c>
      <c r="D1" s="88"/>
      <c r="E1" s="94"/>
    </row>
    <row r="2" spans="1:5" ht="21" customHeight="1" x14ac:dyDescent="0.2">
      <c r="C2" s="36" t="s">
        <v>119</v>
      </c>
      <c r="D2" s="36" t="s">
        <v>120</v>
      </c>
    </row>
    <row r="3" spans="1:5" ht="21" customHeight="1" x14ac:dyDescent="0.2">
      <c r="A3" s="6" t="s">
        <v>121</v>
      </c>
      <c r="B3" s="98">
        <f>Staffing!E2</f>
        <v>28</v>
      </c>
      <c r="C3" s="99">
        <f>'Results '!B13</f>
        <v>15849.31</v>
      </c>
      <c r="D3" s="38">
        <f>C3*B3</f>
        <v>443780.68</v>
      </c>
      <c r="E3"/>
    </row>
    <row r="4" spans="1:5" ht="21" customHeight="1" x14ac:dyDescent="0.2">
      <c r="A4" s="6" t="s">
        <v>122</v>
      </c>
      <c r="B4" s="98">
        <f>Staffing!E3</f>
        <v>42</v>
      </c>
      <c r="C4" s="100">
        <f>'Results '!B12</f>
        <v>450</v>
      </c>
      <c r="D4" s="38">
        <f>B4*C4</f>
        <v>18900</v>
      </c>
      <c r="E4"/>
    </row>
    <row r="5" spans="1:5" ht="21" customHeight="1" x14ac:dyDescent="0.2">
      <c r="A5" s="6"/>
      <c r="B5" s="6"/>
      <c r="D5" s="58">
        <f>SUM(D3:D4)</f>
        <v>462680.68</v>
      </c>
      <c r="E5"/>
    </row>
    <row r="6" spans="1:5" ht="21" customHeight="1" x14ac:dyDescent="0.2">
      <c r="A6" s="42" t="s">
        <v>123</v>
      </c>
      <c r="B6" s="45">
        <f>D5/C1</f>
        <v>0.46268068000000001</v>
      </c>
      <c r="E6"/>
    </row>
    <row r="7" spans="1:5" x14ac:dyDescent="0.2">
      <c r="A7" s="6"/>
    </row>
    <row r="8" spans="1:5" ht="20.45" customHeight="1" x14ac:dyDescent="0.2">
      <c r="A8" s="6" t="str">
        <f>'Results '!A14</f>
        <v>Average Case Based Reserve              (ALL Lost Time)</v>
      </c>
      <c r="B8" s="101">
        <f>'Results '!B14</f>
        <v>21653.07</v>
      </c>
      <c r="E8"/>
    </row>
    <row r="9" spans="1:5" ht="18" customHeight="1" x14ac:dyDescent="0.2">
      <c r="A9" s="6" t="str">
        <f>'Results '!A15</f>
        <v>Incurred Cost Loss Adjustment Factor</v>
      </c>
      <c r="B9" s="98">
        <f>'Results '!B15</f>
        <v>1.05</v>
      </c>
      <c r="E9"/>
    </row>
    <row r="10" spans="1:5" ht="13.5" thickBot="1" x14ac:dyDescent="0.25">
      <c r="A10" s="6"/>
    </row>
    <row r="11" spans="1:5" ht="19.149999999999999" customHeight="1" thickBot="1" x14ac:dyDescent="0.25">
      <c r="A11" s="95" t="s">
        <v>124</v>
      </c>
      <c r="B11" s="89">
        <f>'Closure Rate'!F2</f>
        <v>8.5000000000000006E-2</v>
      </c>
      <c r="C11" s="56" t="s">
        <v>125</v>
      </c>
      <c r="D11" s="56" t="s">
        <v>126</v>
      </c>
      <c r="E11" s="56" t="s">
        <v>127</v>
      </c>
    </row>
    <row r="12" spans="1:5" ht="19.149999999999999" customHeight="1" thickBot="1" x14ac:dyDescent="0.25">
      <c r="A12" s="94" t="s">
        <v>128</v>
      </c>
      <c r="B12" s="90">
        <f>'Closure Rate'!E13</f>
        <v>0.6556079411011515</v>
      </c>
      <c r="C12" s="8">
        <f>B8</f>
        <v>21653.07</v>
      </c>
      <c r="D12" s="2">
        <f>B12*100</f>
        <v>65.560794110115154</v>
      </c>
      <c r="E12" s="8">
        <f>(B12*100)*C12</f>
        <v>1419592.4641219112</v>
      </c>
    </row>
    <row r="13" spans="1:5" ht="19.149999999999999" customHeight="1" thickBot="1" x14ac:dyDescent="0.25">
      <c r="A13" s="95" t="s">
        <v>129</v>
      </c>
      <c r="B13" s="90">
        <f>'Closure Rate'!E25</f>
        <v>0.88139410976741206</v>
      </c>
      <c r="C13" s="8">
        <f>C12*B9</f>
        <v>22735.7235</v>
      </c>
      <c r="D13" s="2">
        <f>(B13*100)-D12</f>
        <v>22.578616866626049</v>
      </c>
      <c r="E13" s="8">
        <f t="shared" ref="E13:E25" si="0">((B13-B12)*100)*C13</f>
        <v>513341.1900920464</v>
      </c>
    </row>
    <row r="14" spans="1:5" ht="19.149999999999999" customHeight="1" thickBot="1" x14ac:dyDescent="0.25">
      <c r="A14" s="95" t="s">
        <v>130</v>
      </c>
      <c r="B14" s="90">
        <f>'Closure Rate'!E37</f>
        <v>0.959153073265268</v>
      </c>
      <c r="C14" s="8">
        <f>C13*B9</f>
        <v>23872.509675000001</v>
      </c>
      <c r="D14" s="2">
        <f>(B14*100)-(D13+D12)</f>
        <v>7.7758963497855973</v>
      </c>
      <c r="E14" s="8">
        <f t="shared" si="0"/>
        <v>185630.16084205377</v>
      </c>
    </row>
    <row r="15" spans="1:5" ht="19.149999999999999" customHeight="1" thickBot="1" x14ac:dyDescent="0.25">
      <c r="A15" s="95" t="s">
        <v>131</v>
      </c>
      <c r="B15" s="90">
        <f>'Closure Rate'!E49</f>
        <v>0.98593264280213488</v>
      </c>
      <c r="C15" s="8">
        <f>C14*B9</f>
        <v>25066.135158750003</v>
      </c>
      <c r="D15" s="2">
        <f>(B15*100)-(D14+D13+D12)</f>
        <v>2.6779569536866887</v>
      </c>
      <c r="E15" s="8">
        <f t="shared" si="0"/>
        <v>67126.03095042496</v>
      </c>
    </row>
    <row r="16" spans="1:5" ht="19.149999999999999" customHeight="1" thickBot="1" x14ac:dyDescent="0.25">
      <c r="A16" s="95" t="s">
        <v>132</v>
      </c>
      <c r="B16" s="91">
        <f>'Closure Rate'!E62</f>
        <v>0.99556711221059591</v>
      </c>
      <c r="C16" s="8">
        <f>C15*B$9</f>
        <v>26319.441916687505</v>
      </c>
      <c r="D16" s="2">
        <f>(B16*100)-(D15+D14+D13+D12)</f>
        <v>0.96344694084609728</v>
      </c>
      <c r="E16" s="8">
        <f t="shared" si="0"/>
        <v>25357.385799409247</v>
      </c>
    </row>
    <row r="17" spans="1:5" ht="19.149999999999999" customHeight="1" thickBot="1" x14ac:dyDescent="0.25">
      <c r="A17" s="95" t="s">
        <v>133</v>
      </c>
      <c r="B17" s="91">
        <f>'Closure Rate'!E74</f>
        <v>0.99847334864733928</v>
      </c>
      <c r="C17" s="8">
        <f t="shared" ref="C17:C24" si="1">C16*B$9</f>
        <v>27635.41401252188</v>
      </c>
      <c r="D17" s="2">
        <f>(B17*100)-(D16+D15+D14+D13+D12)</f>
        <v>0.29062364367433702</v>
      </c>
      <c r="E17" s="8">
        <f t="shared" si="0"/>
        <v>8031.5047147679388</v>
      </c>
    </row>
    <row r="18" spans="1:5" ht="19.149999999999999" customHeight="1" thickBot="1" x14ac:dyDescent="0.25">
      <c r="A18" s="95" t="s">
        <v>134</v>
      </c>
      <c r="B18" s="91">
        <f>'Closure Rate'!E86</f>
        <v>0.99947423339743635</v>
      </c>
      <c r="C18" s="8">
        <f t="shared" si="1"/>
        <v>29017.184713147974</v>
      </c>
      <c r="D18" s="2">
        <f>(B18*100)-(D17+D16+D15+D14+D13+D12)</f>
        <v>0.10008847500971285</v>
      </c>
      <c r="E18" s="8">
        <f t="shared" si="0"/>
        <v>2904.2857670139779</v>
      </c>
    </row>
    <row r="19" spans="1:5" ht="19.149999999999999" customHeight="1" thickBot="1" x14ac:dyDescent="0.25">
      <c r="A19" s="95" t="s">
        <v>135</v>
      </c>
      <c r="B19" s="91">
        <f>'Closure Rate'!E98</f>
        <v>0.99981893015724266</v>
      </c>
      <c r="C19" s="8">
        <f t="shared" si="1"/>
        <v>30468.043948805374</v>
      </c>
      <c r="D19" s="2">
        <f>(B19*100)-(D18+D17+D16+D15+D14+D13+D12)</f>
        <v>3.4469675980631109E-2</v>
      </c>
      <c r="E19" s="8">
        <f t="shared" si="0"/>
        <v>1050.223602678936</v>
      </c>
    </row>
    <row r="20" spans="1:5" ht="19.149999999999999" customHeight="1" thickBot="1" x14ac:dyDescent="0.25">
      <c r="A20" s="95" t="s">
        <v>136</v>
      </c>
      <c r="B20" s="91">
        <f>'Closure Rate'!E110</f>
        <v>0.99993764098404814</v>
      </c>
      <c r="C20" s="8">
        <f t="shared" si="1"/>
        <v>31991.446146245646</v>
      </c>
      <c r="D20" s="2">
        <f>(B20*100)-(D19+D18+D17+D16+D15+D14+D13+D12)</f>
        <v>1.18710826805426E-2</v>
      </c>
      <c r="E20" s="8">
        <f t="shared" si="0"/>
        <v>379.77310227237848</v>
      </c>
    </row>
    <row r="21" spans="1:5" ht="19.149999999999999" customHeight="1" thickBot="1" x14ac:dyDescent="0.25">
      <c r="A21" s="95" t="s">
        <v>137</v>
      </c>
      <c r="B21" s="91">
        <f>'Closure Rate'!E122</f>
        <v>0.99997852405010523</v>
      </c>
      <c r="C21" s="8">
        <f t="shared" si="1"/>
        <v>33591.018453557932</v>
      </c>
      <c r="D21" s="2">
        <f>(B21*100)-(D20+D19+D18+D17+D16+D15+D14+D13+D12)</f>
        <v>4.0883066057091355E-3</v>
      </c>
      <c r="E21" s="8">
        <f t="shared" si="0"/>
        <v>137.33038263619329</v>
      </c>
    </row>
    <row r="22" spans="1:5" ht="19.149999999999999" customHeight="1" thickBot="1" x14ac:dyDescent="0.25">
      <c r="A22" s="95" t="s">
        <v>138</v>
      </c>
      <c r="B22" s="91">
        <f>'Closure Rate'!E134</f>
        <v>0.99999260385339839</v>
      </c>
      <c r="C22" s="8">
        <f t="shared" si="1"/>
        <v>35270.569376235828</v>
      </c>
      <c r="D22" s="2">
        <f>(B22*100)-(D21+D20+D19+D18+D17+D16+D15+D14+D13+D12)</f>
        <v>1.4079803293185478E-3</v>
      </c>
      <c r="E22" s="8">
        <f t="shared" si="0"/>
        <v>49.660267885495564</v>
      </c>
    </row>
    <row r="23" spans="1:5" ht="19.149999999999999" customHeight="1" thickBot="1" x14ac:dyDescent="0.25">
      <c r="A23" s="95" t="s">
        <v>139</v>
      </c>
      <c r="B23" s="91">
        <f>'Closure Rate'!E146</f>
        <v>0.99999745282584374</v>
      </c>
      <c r="C23" s="8">
        <f t="shared" si="1"/>
        <v>37034.097845047618</v>
      </c>
      <c r="D23" s="2">
        <f>(B23*100)-(D22+D21+D20+D19+D18+D17+D16+D15+D14+D13+D12)</f>
        <v>4.8489724453304461E-4</v>
      </c>
      <c r="E23" s="8">
        <f t="shared" si="0"/>
        <v>17.957731998896541</v>
      </c>
    </row>
    <row r="24" spans="1:5" ht="19.149999999999999" customHeight="1" thickBot="1" x14ac:dyDescent="0.25">
      <c r="A24" s="95" t="s">
        <v>140</v>
      </c>
      <c r="B24" s="91">
        <f>'Closure Rate'!E158</f>
        <v>0.99999912277344793</v>
      </c>
      <c r="C24" s="8">
        <f t="shared" si="1"/>
        <v>38885.8027373</v>
      </c>
      <c r="D24" s="2">
        <f>(B24*100)-(D23+D22+D21+D20+D19+D18+D17+D16+D15+D14+D13+D12)</f>
        <v>1.6699476041992511E-4</v>
      </c>
      <c r="E24" s="8">
        <f t="shared" si="0"/>
        <v>6.4937253118518816</v>
      </c>
    </row>
    <row r="25" spans="1:5" ht="19.149999999999999" customHeight="1" thickBot="1" x14ac:dyDescent="0.25">
      <c r="A25" s="95" t="s">
        <v>141</v>
      </c>
      <c r="B25" s="91">
        <f>'Closure Rate'!E170</f>
        <v>0.99999969789014143</v>
      </c>
      <c r="C25" s="8">
        <f>C24*B18</f>
        <v>38865.357880906849</v>
      </c>
      <c r="D25" s="2">
        <f>(B25*100)-(D24+D23+D22+D21+D20+D19+D18+D17+D16+D15+D14+D13+D12)</f>
        <v>5.7511669353971229E-5</v>
      </c>
      <c r="E25" s="8">
        <f t="shared" si="0"/>
        <v>2.2352116115806182</v>
      </c>
    </row>
    <row r="26" spans="1:5" ht="17.45" customHeight="1" x14ac:dyDescent="0.2">
      <c r="A26" s="6"/>
      <c r="C26" s="29" t="s">
        <v>142</v>
      </c>
      <c r="D26" s="87">
        <f>SUM(D12:D25)</f>
        <v>99.999969789014145</v>
      </c>
      <c r="E26" s="30">
        <f>SUM(E12:E25)</f>
        <v>2223626.6963120233</v>
      </c>
    </row>
    <row r="27" spans="1:5" ht="17.45" customHeight="1" x14ac:dyDescent="0.2">
      <c r="A27" s="6"/>
      <c r="C27" s="19" t="s">
        <v>143</v>
      </c>
      <c r="E27" s="16">
        <f>E26/D26</f>
        <v>22236.27368091773</v>
      </c>
    </row>
    <row r="28" spans="1:5" x14ac:dyDescent="0.2">
      <c r="A28" s="6"/>
    </row>
    <row r="29" spans="1:5" ht="19.899999999999999" customHeight="1" thickBot="1" x14ac:dyDescent="0.25">
      <c r="A29" s="6"/>
      <c r="C29" s="42" t="s">
        <v>144</v>
      </c>
      <c r="D29" s="8">
        <v>1000000</v>
      </c>
      <c r="E29"/>
    </row>
    <row r="30" spans="1:5" ht="19.149999999999999" customHeight="1" thickBot="1" x14ac:dyDescent="0.25">
      <c r="A30" s="95" t="s">
        <v>145</v>
      </c>
      <c r="B30" s="92">
        <f>B3</f>
        <v>28</v>
      </c>
      <c r="C30" s="8">
        <f>E27</f>
        <v>22236.27368091773</v>
      </c>
      <c r="D30" s="8">
        <f>C30*B30</f>
        <v>622615.66306569637</v>
      </c>
      <c r="E30"/>
    </row>
    <row r="31" spans="1:5" ht="19.149999999999999" customHeight="1" thickBot="1" x14ac:dyDescent="0.25">
      <c r="A31" s="95" t="s">
        <v>146</v>
      </c>
      <c r="B31" s="93">
        <f>B4</f>
        <v>42</v>
      </c>
      <c r="C31" s="9">
        <f>'Results '!B12</f>
        <v>450</v>
      </c>
      <c r="D31" s="8">
        <f>B31*C31</f>
        <v>18900</v>
      </c>
      <c r="E31"/>
    </row>
    <row r="32" spans="1:5" ht="19.149999999999999" customHeight="1" thickBot="1" x14ac:dyDescent="0.3">
      <c r="A32" s="96" t="str">
        <f>'Results '!A6</f>
        <v xml:space="preserve">% of medical only </v>
      </c>
      <c r="B32" s="90">
        <f>'Results '!B6</f>
        <v>0.6</v>
      </c>
      <c r="D32" s="9">
        <f>SUM(D30:D31)</f>
        <v>641515.66306569637</v>
      </c>
      <c r="E32"/>
    </row>
    <row r="33" spans="1:5" ht="19.149999999999999" customHeight="1" thickBot="1" x14ac:dyDescent="0.25">
      <c r="A33" s="97" t="str">
        <f>'Results '!A5</f>
        <v>% of lost time case</v>
      </c>
      <c r="B33" s="91">
        <f>'Results '!B5</f>
        <v>0.4</v>
      </c>
      <c r="C33" s="41" t="s">
        <v>147</v>
      </c>
      <c r="D33" s="45">
        <f>D32/D29</f>
        <v>0.64151566306569641</v>
      </c>
      <c r="E33"/>
    </row>
  </sheetData>
  <phoneticPr fontId="0" type="noConversion"/>
  <printOptions gridLines="1" gridLinesSet="0"/>
  <pageMargins left="0.75" right="0.75" top="1" bottom="1" header="0.5" footer="0.5"/>
  <pageSetup scale="80" orientation="portrait" copies="0" r:id="rId1"/>
  <headerFooter alignWithMargins="0">
    <oddHeader>&amp;A</oddHeader>
    <oddFooter>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8"/>
  <sheetViews>
    <sheetView topLeftCell="A24" zoomScale="75" workbookViewId="0">
      <pane ySplit="1020" activePane="bottomLeft"/>
      <selection activeCell="T5" sqref="T5"/>
      <selection pane="bottomLeft" activeCell="O55" sqref="O55"/>
    </sheetView>
  </sheetViews>
  <sheetFormatPr defaultRowHeight="12.75" x14ac:dyDescent="0.2"/>
  <cols>
    <col min="2" max="2" width="20.7109375" style="8" customWidth="1"/>
    <col min="3" max="3" width="27.85546875" customWidth="1"/>
    <col min="4" max="4" width="9.5703125" customWidth="1"/>
    <col min="5" max="5" width="11.5703125" customWidth="1"/>
    <col min="6" max="6" width="12" customWidth="1"/>
    <col min="7" max="8" width="11.42578125" customWidth="1"/>
    <col min="9" max="9" width="13.42578125" customWidth="1"/>
    <col min="10" max="10" width="11.42578125" customWidth="1"/>
    <col min="11" max="12" width="11" customWidth="1"/>
    <col min="13" max="13" width="11.42578125" customWidth="1"/>
    <col min="14" max="14" width="11.28515625" customWidth="1"/>
    <col min="15" max="15" width="13.42578125" customWidth="1"/>
    <col min="16" max="16" width="9.5703125" customWidth="1"/>
    <col min="17" max="17" width="10.85546875" customWidth="1"/>
    <col min="18" max="18" width="13.5703125" customWidth="1"/>
    <col min="19" max="19" width="12.28515625" customWidth="1"/>
    <col min="20" max="20" width="18.42578125" customWidth="1"/>
    <col min="21" max="21" width="13.85546875" customWidth="1"/>
    <col min="22" max="22" width="12.28515625" customWidth="1"/>
  </cols>
  <sheetData>
    <row r="1" spans="1:22" ht="51" x14ac:dyDescent="0.2">
      <c r="L1" s="53" t="s">
        <v>148</v>
      </c>
      <c r="M1" s="53" t="s">
        <v>149</v>
      </c>
      <c r="N1" s="53" t="s">
        <v>150</v>
      </c>
      <c r="O1" s="53" t="s">
        <v>57</v>
      </c>
      <c r="P1" s="49" t="s">
        <v>151</v>
      </c>
    </row>
    <row r="2" spans="1:22" x14ac:dyDescent="0.2">
      <c r="C2" s="37" t="str">
        <f>'Results '!A3</f>
        <v>Lost Time Claims per 1M</v>
      </c>
      <c r="D2" s="37"/>
      <c r="E2" s="6">
        <f>'Results '!B3</f>
        <v>28</v>
      </c>
      <c r="G2" s="41" t="str">
        <f>'Results '!A10</f>
        <v>% Closed at 24 months</v>
      </c>
      <c r="H2" s="37"/>
      <c r="I2" t="s">
        <v>152</v>
      </c>
      <c r="K2" t="s">
        <v>153</v>
      </c>
      <c r="L2" s="32">
        <f>'Results '!B20</f>
        <v>3.5400000000000005</v>
      </c>
      <c r="M2" s="32">
        <f>'Results '!C20</f>
        <v>40</v>
      </c>
      <c r="N2" s="32">
        <f>'Results '!D20</f>
        <v>4</v>
      </c>
      <c r="O2" s="32">
        <f>M2*N2</f>
        <v>160</v>
      </c>
      <c r="P2" s="31">
        <f>O2/L2</f>
        <v>45.197740112994346</v>
      </c>
      <c r="Q2" s="54" t="s">
        <v>19</v>
      </c>
      <c r="R2" s="35" t="s">
        <v>154</v>
      </c>
      <c r="S2" s="48" t="s">
        <v>155</v>
      </c>
    </row>
    <row r="3" spans="1:22" x14ac:dyDescent="0.2">
      <c r="C3" s="37" t="str">
        <f>'Results '!A4</f>
        <v>Med Only Claims per 1M</v>
      </c>
      <c r="D3" s="37"/>
      <c r="E3" s="6">
        <f>'Results '!B4</f>
        <v>42</v>
      </c>
      <c r="G3" t="s">
        <v>31</v>
      </c>
      <c r="H3" s="10">
        <f>'Results '!B10</f>
        <v>0.6556079411011515</v>
      </c>
      <c r="I3" s="10">
        <f>'Results '!B9</f>
        <v>8.5000000000000006E-2</v>
      </c>
      <c r="J3" s="10"/>
      <c r="K3" t="s">
        <v>156</v>
      </c>
      <c r="L3" s="32">
        <f>'Results '!B21</f>
        <v>7.2300000000000013</v>
      </c>
      <c r="M3" s="32">
        <f>'Results '!C21</f>
        <v>40</v>
      </c>
      <c r="N3" s="32">
        <f>'Results '!D21</f>
        <v>26</v>
      </c>
      <c r="O3" s="32">
        <f>M3*N3</f>
        <v>1040</v>
      </c>
      <c r="P3" s="31">
        <f>O3/L3</f>
        <v>143.84508990318116</v>
      </c>
      <c r="Q3" s="6">
        <f>'Results '!B25</f>
        <v>1</v>
      </c>
      <c r="R3" s="6" t="e">
        <f>'Results '!#REF!</f>
        <v>#REF!</v>
      </c>
      <c r="S3" s="37" t="s">
        <v>157</v>
      </c>
      <c r="T3" s="8" t="e">
        <f>'Results '!#REF!</f>
        <v>#REF!</v>
      </c>
      <c r="U3" s="8" t="e">
        <f>'Results '!#REF!</f>
        <v>#REF!</v>
      </c>
      <c r="V3" s="8"/>
    </row>
    <row r="4" spans="1:22" x14ac:dyDescent="0.2">
      <c r="C4" s="37" t="s">
        <v>158</v>
      </c>
      <c r="D4" s="37"/>
      <c r="E4" s="6">
        <f>SUM(E2:E3)</f>
        <v>70</v>
      </c>
      <c r="G4" t="s">
        <v>159</v>
      </c>
      <c r="H4" s="10">
        <v>3</v>
      </c>
      <c r="I4" s="10">
        <v>0.2</v>
      </c>
      <c r="J4" s="10"/>
      <c r="K4" t="s">
        <v>160</v>
      </c>
      <c r="L4" s="32">
        <f>'Results '!B22</f>
        <v>1.5</v>
      </c>
      <c r="M4" s="32">
        <f>'Results '!C22</f>
        <v>40</v>
      </c>
      <c r="N4" s="32">
        <f>'Results '!D22</f>
        <v>12</v>
      </c>
      <c r="O4" s="32">
        <f>M4*N4</f>
        <v>480</v>
      </c>
      <c r="P4" s="31">
        <f>O4/L4</f>
        <v>320</v>
      </c>
      <c r="Q4" s="35" t="s">
        <v>161</v>
      </c>
      <c r="R4" s="54" t="s">
        <v>162</v>
      </c>
      <c r="S4" s="37" t="s">
        <v>163</v>
      </c>
      <c r="T4" s="8" t="e">
        <f>'Results '!#REF!</f>
        <v>#REF!</v>
      </c>
      <c r="U4" s="8" t="e">
        <f>'Results '!#REF!</f>
        <v>#REF!</v>
      </c>
    </row>
    <row r="5" spans="1:22" x14ac:dyDescent="0.2">
      <c r="D5" s="34"/>
      <c r="K5" t="s">
        <v>164</v>
      </c>
      <c r="L5" s="32">
        <f>'Results '!B23</f>
        <v>18.489999999999998</v>
      </c>
      <c r="M5" s="32">
        <f>'Results '!C23</f>
        <v>40</v>
      </c>
      <c r="N5" s="32">
        <f>'Results '!D23</f>
        <v>50</v>
      </c>
      <c r="O5" s="32">
        <f>M5*N5</f>
        <v>2000</v>
      </c>
      <c r="P5" s="31">
        <f>O5/L5</f>
        <v>108.1665765278529</v>
      </c>
      <c r="Q5" s="6">
        <f>'Results '!B24</f>
        <v>0.5</v>
      </c>
      <c r="R5" s="6">
        <f>'Results '!K28</f>
        <v>0.22</v>
      </c>
      <c r="S5" s="37" t="s">
        <v>165</v>
      </c>
      <c r="T5" s="8" t="e">
        <f>'Results '!#REF!</f>
        <v>#REF!</v>
      </c>
      <c r="U5" s="8" t="e">
        <f>'Results '!#REF!</f>
        <v>#REF!</v>
      </c>
    </row>
    <row r="6" spans="1:22" x14ac:dyDescent="0.2">
      <c r="D6" s="34"/>
      <c r="L6" s="32"/>
      <c r="M6" s="32"/>
      <c r="N6" s="32"/>
      <c r="O6" s="32"/>
      <c r="P6" s="31"/>
      <c r="Q6" s="6"/>
      <c r="R6" s="6"/>
      <c r="S6" s="37"/>
      <c r="T6" s="8"/>
      <c r="U6" s="8"/>
    </row>
    <row r="7" spans="1:22" s="36" customFormat="1" ht="25.5" x14ac:dyDescent="0.2">
      <c r="A7" s="36" t="s">
        <v>166</v>
      </c>
      <c r="B7" s="102" t="s">
        <v>167</v>
      </c>
      <c r="C7" s="46" t="s">
        <v>168</v>
      </c>
      <c r="D7" s="46" t="s">
        <v>169</v>
      </c>
      <c r="E7" s="46" t="s">
        <v>170</v>
      </c>
      <c r="F7" s="47" t="s">
        <v>171</v>
      </c>
      <c r="G7" s="47" t="s">
        <v>172</v>
      </c>
      <c r="H7" s="47" t="s">
        <v>173</v>
      </c>
      <c r="I7" s="39" t="s">
        <v>174</v>
      </c>
      <c r="J7" s="39" t="s">
        <v>175</v>
      </c>
      <c r="K7" s="39" t="s">
        <v>176</v>
      </c>
      <c r="L7" s="39" t="s">
        <v>177</v>
      </c>
      <c r="M7" s="39" t="s">
        <v>178</v>
      </c>
      <c r="N7" s="39" t="s">
        <v>179</v>
      </c>
      <c r="O7" s="39" t="s">
        <v>117</v>
      </c>
      <c r="P7" s="39" t="s">
        <v>180</v>
      </c>
      <c r="Q7" s="36" t="s">
        <v>181</v>
      </c>
      <c r="R7" s="36" t="s">
        <v>182</v>
      </c>
      <c r="S7" s="36" t="s">
        <v>183</v>
      </c>
      <c r="T7" s="36" t="s">
        <v>180</v>
      </c>
      <c r="U7" s="36" t="s">
        <v>184</v>
      </c>
      <c r="V7" s="46" t="s">
        <v>185</v>
      </c>
    </row>
    <row r="8" spans="1:22" x14ac:dyDescent="0.2">
      <c r="A8" s="6">
        <v>1</v>
      </c>
      <c r="B8" s="8">
        <f>'earned premium'!D2</f>
        <v>83333.333333333328</v>
      </c>
      <c r="C8" s="7">
        <f>B8</f>
        <v>83333.333333333328</v>
      </c>
      <c r="D8" s="3">
        <f t="shared" ref="D8:D39" si="0">(B8/1000000)*E$2</f>
        <v>2.333333333333333</v>
      </c>
      <c r="E8" s="3">
        <f>D8</f>
        <v>2.333333333333333</v>
      </c>
      <c r="F8" s="3">
        <f>E8-H8</f>
        <v>2.1349999999999998</v>
      </c>
      <c r="G8" s="2">
        <f>E8*I$3</f>
        <v>0.19833333333333333</v>
      </c>
      <c r="H8" s="2">
        <f>G8</f>
        <v>0.19833333333333333</v>
      </c>
      <c r="I8" s="10">
        <f t="shared" ref="I8:I39" si="1">D8/P$2</f>
        <v>5.1624999999999997E-2</v>
      </c>
      <c r="J8" s="20">
        <f>(I8*1)*Q$3</f>
        <v>5.1624999999999997E-2</v>
      </c>
      <c r="K8" s="10">
        <f>((F8-D8)*'Results '!K$30)/P$3</f>
        <v>-1.1030384615384615E-3</v>
      </c>
      <c r="L8" s="20">
        <f>(K8*1)*Q$3</f>
        <v>-1.1030384615384615E-3</v>
      </c>
      <c r="M8" s="10">
        <f>((F8-D8)*'Results '!K$31)/P$5</f>
        <v>-3.6671833333333325E-4</v>
      </c>
      <c r="N8" s="20">
        <f>(M8*1)*Q$3</f>
        <v>-3.6671833333333325E-4</v>
      </c>
      <c r="O8" s="10">
        <f>I8+K8+M8</f>
        <v>5.0155243205128201E-2</v>
      </c>
      <c r="P8" s="24">
        <f>IF(O8&lt;1,1,O8)*Q$3</f>
        <v>1</v>
      </c>
      <c r="Q8" s="3">
        <f>P8*Q$5</f>
        <v>0.5</v>
      </c>
      <c r="R8" s="11">
        <f>'Med Only'!I3</f>
        <v>3.6458333333333334E-3</v>
      </c>
      <c r="S8" s="64">
        <f>SUM(P8:R8)</f>
        <v>1.5036458333333333</v>
      </c>
      <c r="T8" s="8">
        <f>(J8*'Results '!B$37)+(Staffing!L8*'Results '!C$37)+(Staffing!N8*'Results '!D$37)</f>
        <v>156.84802139966345</v>
      </c>
      <c r="U8" s="8">
        <f>Q8*'Results '!E$37</f>
        <v>781.23697916666663</v>
      </c>
      <c r="V8" s="9">
        <f>R8*'Results '!F$37</f>
        <v>6.8358235677083332</v>
      </c>
    </row>
    <row r="9" spans="1:22" x14ac:dyDescent="0.2">
      <c r="A9" s="6">
        <f>A8+1</f>
        <v>2</v>
      </c>
      <c r="B9" s="8">
        <f>'earned premium'!E2</f>
        <v>166937.5</v>
      </c>
      <c r="C9" s="9">
        <f>B9+C8</f>
        <v>250270.83333333331</v>
      </c>
      <c r="D9" s="3">
        <f t="shared" si="0"/>
        <v>4.6742499999999998</v>
      </c>
      <c r="E9" s="3">
        <f>D9+E8</f>
        <v>7.0075833333333328</v>
      </c>
      <c r="F9" s="3">
        <f>E9-H8</f>
        <v>6.8092499999999996</v>
      </c>
      <c r="G9" s="2">
        <f t="shared" ref="G9:G40" si="2">(E9-H8)*I$3</f>
        <v>0.57878625000000006</v>
      </c>
      <c r="H9" s="3">
        <f>G9+H8</f>
        <v>0.77711958333333342</v>
      </c>
      <c r="I9" s="10">
        <f t="shared" si="1"/>
        <v>0.10341778125000001</v>
      </c>
      <c r="J9" s="20">
        <f t="shared" ref="J9:J24" si="3">(I9*1)*Q$3</f>
        <v>0.10341778125000001</v>
      </c>
      <c r="K9" s="10">
        <f>((F9-D9)*'Results '!K$30)/P$3</f>
        <v>1.1873884615384618E-2</v>
      </c>
      <c r="L9" s="20">
        <f t="shared" ref="L9:L24" si="4">(K9*1)*Q$3</f>
        <v>1.1873884615384618E-2</v>
      </c>
      <c r="M9" s="10">
        <f>((F9-D9)*'Results '!K$31)/P$5</f>
        <v>3.9476149999999998E-3</v>
      </c>
      <c r="N9" s="20">
        <f t="shared" ref="N9:N24" si="5">(M9*1)*Q$3</f>
        <v>3.9476149999999998E-3</v>
      </c>
      <c r="O9" s="10">
        <f t="shared" ref="O9:O24" si="6">I9+K9+M9</f>
        <v>0.11923928086538463</v>
      </c>
      <c r="P9" s="24">
        <f t="shared" ref="P9:P24" si="7">IF(O9&lt;1,1,O9)*Q$3</f>
        <v>1</v>
      </c>
      <c r="Q9" s="3">
        <f t="shared" ref="Q9:Q24" si="8">P9*Q$5</f>
        <v>0.5</v>
      </c>
      <c r="R9" s="11">
        <f>'Med Only'!I4</f>
        <v>1.2188932291666666E-2</v>
      </c>
      <c r="S9" s="64">
        <f t="shared" ref="S9:S24" si="9">SUM(P9:R9)</f>
        <v>1.5121889322916666</v>
      </c>
      <c r="T9" s="8">
        <f>(J9*'Results '!B$37)+(Staffing!L9*'Results '!C$37)+(Staffing!N9*'Results '!D$37)</f>
        <v>371.37323347996693</v>
      </c>
      <c r="U9" s="8">
        <f>Q9*'Results '!E$37</f>
        <v>781.23697916666663</v>
      </c>
      <c r="V9" s="9">
        <f>R9*'Results '!F$37</f>
        <v>22.853867142740885</v>
      </c>
    </row>
    <row r="10" spans="1:22" x14ac:dyDescent="0.2">
      <c r="A10" s="6">
        <f t="shared" ref="A10:A25" si="10">A9+1</f>
        <v>3</v>
      </c>
      <c r="B10" s="8">
        <f>'earned premium'!F2</f>
        <v>250813.38020833331</v>
      </c>
      <c r="C10" s="9">
        <f t="shared" ref="C10:C25" si="11">B10+C9</f>
        <v>501084.21354166663</v>
      </c>
      <c r="D10" s="3">
        <f t="shared" si="0"/>
        <v>7.0227746458333336</v>
      </c>
      <c r="E10" s="3">
        <f t="shared" ref="E10:E25" si="12">D10+E9</f>
        <v>14.030357979166666</v>
      </c>
      <c r="F10" s="3">
        <f t="shared" ref="F10:F25" si="13">E10-H9</f>
        <v>13.253238395833334</v>
      </c>
      <c r="G10" s="2">
        <f t="shared" si="2"/>
        <v>1.1265252636458334</v>
      </c>
      <c r="H10" s="3">
        <f t="shared" ref="H10:H25" si="14">G10+H9</f>
        <v>1.9036448469791667</v>
      </c>
      <c r="I10" s="10">
        <f t="shared" si="1"/>
        <v>0.15537888903906252</v>
      </c>
      <c r="J10" s="20">
        <f t="shared" si="3"/>
        <v>0.15537888903906252</v>
      </c>
      <c r="K10" s="10">
        <f>((F10-D10)*'Results '!K$30)/P$3</f>
        <v>3.4650963778846161E-2</v>
      </c>
      <c r="L10" s="20">
        <f t="shared" si="4"/>
        <v>3.4650963778846161E-2</v>
      </c>
      <c r="M10" s="10">
        <f>((F10-D10)*'Results '!K$31)/P$5</f>
        <v>1.1520127473750001E-2</v>
      </c>
      <c r="N10" s="20">
        <f t="shared" si="5"/>
        <v>1.1520127473750001E-2</v>
      </c>
      <c r="O10" s="10">
        <f t="shared" si="6"/>
        <v>0.20154998029165869</v>
      </c>
      <c r="P10" s="24">
        <f t="shared" si="7"/>
        <v>1</v>
      </c>
      <c r="Q10" s="3">
        <f t="shared" si="8"/>
        <v>0.5</v>
      </c>
      <c r="R10" s="11">
        <f>'Med Only'!I5</f>
        <v>2.4033025488281248E-2</v>
      </c>
      <c r="S10" s="64">
        <f t="shared" si="9"/>
        <v>1.5240330254882812</v>
      </c>
      <c r="T10" s="8">
        <f>(J10*'Results '!B$37)+(Staffing!L10*'Results '!C$37)+(Staffing!N10*'Results '!D$37)</f>
        <v>626.20490497927267</v>
      </c>
      <c r="U10" s="8">
        <f>Q10*'Results '!E$37</f>
        <v>781.23697916666663</v>
      </c>
      <c r="V10" s="9">
        <f>R10*'Results '!F$37</f>
        <v>45.061171758480832</v>
      </c>
    </row>
    <row r="11" spans="1:22" x14ac:dyDescent="0.2">
      <c r="A11" s="6">
        <f t="shared" si="10"/>
        <v>4</v>
      </c>
      <c r="B11" s="8">
        <f>'earned premium'!G2</f>
        <v>334961.85702734371</v>
      </c>
      <c r="C11" s="9">
        <f t="shared" si="11"/>
        <v>836046.07056901034</v>
      </c>
      <c r="D11" s="3">
        <f t="shared" si="0"/>
        <v>9.3789319967656244</v>
      </c>
      <c r="E11" s="3">
        <f t="shared" si="12"/>
        <v>23.409289975932289</v>
      </c>
      <c r="F11" s="3">
        <f t="shared" si="13"/>
        <v>21.505645128953123</v>
      </c>
      <c r="G11" s="2">
        <f t="shared" si="2"/>
        <v>1.8279798359610155</v>
      </c>
      <c r="H11" s="3">
        <f t="shared" si="14"/>
        <v>3.7316246829401822</v>
      </c>
      <c r="I11" s="10">
        <f t="shared" si="1"/>
        <v>0.20750887042843946</v>
      </c>
      <c r="J11" s="20">
        <f t="shared" si="3"/>
        <v>0.20750887042843946</v>
      </c>
      <c r="K11" s="10">
        <f>((F11-D11)*'Results '!K$30)/P$3</f>
        <v>6.7443181496704335E-2</v>
      </c>
      <c r="L11" s="20">
        <f t="shared" si="4"/>
        <v>6.7443181496704335E-2</v>
      </c>
      <c r="M11" s="10">
        <f>((F11-D11)*'Results '!K$31)/P$5</f>
        <v>2.2422292581414684E-2</v>
      </c>
      <c r="N11" s="20">
        <f t="shared" si="5"/>
        <v>2.2422292581414684E-2</v>
      </c>
      <c r="O11" s="10">
        <f t="shared" si="6"/>
        <v>0.29737434450655853</v>
      </c>
      <c r="P11" s="24">
        <f t="shared" si="7"/>
        <v>1</v>
      </c>
      <c r="Q11" s="3">
        <f t="shared" si="8"/>
        <v>0.5</v>
      </c>
      <c r="R11" s="11">
        <f>'Med Only'!I6</f>
        <v>3.8108675529451498E-2</v>
      </c>
      <c r="S11" s="64">
        <f t="shared" si="9"/>
        <v>1.5381086755294515</v>
      </c>
      <c r="T11" s="8">
        <f>(J11*'Results '!B$37)+(Staffing!L11*'Results '!C$37)+(Staffing!N11*'Results '!D$37)</f>
        <v>922.21739468257215</v>
      </c>
      <c r="U11" s="8">
        <f>Q11*'Results '!E$37</f>
        <v>781.23697916666663</v>
      </c>
      <c r="V11" s="9">
        <f>R11*'Results '!F$37</f>
        <v>71.452575721611268</v>
      </c>
    </row>
    <row r="12" spans="1:22" x14ac:dyDescent="0.2">
      <c r="A12" s="6">
        <f t="shared" si="10"/>
        <v>5</v>
      </c>
      <c r="B12" s="8">
        <f>'earned premium'!H$2</f>
        <v>419383.81639601593</v>
      </c>
      <c r="C12" s="9">
        <f t="shared" si="11"/>
        <v>1255429.8869650261</v>
      </c>
      <c r="D12" s="3">
        <f t="shared" si="0"/>
        <v>11.742746859088445</v>
      </c>
      <c r="E12" s="3">
        <f t="shared" si="12"/>
        <v>35.152036835020738</v>
      </c>
      <c r="F12" s="3">
        <f t="shared" si="13"/>
        <v>31.420412152080555</v>
      </c>
      <c r="G12" s="2">
        <f t="shared" si="2"/>
        <v>2.6707350329268476</v>
      </c>
      <c r="H12" s="3">
        <f t="shared" si="14"/>
        <v>6.4023597158670302</v>
      </c>
      <c r="I12" s="10">
        <f t="shared" si="1"/>
        <v>0.25980827425733188</v>
      </c>
      <c r="J12" s="20">
        <f t="shared" si="3"/>
        <v>0.25980827425733188</v>
      </c>
      <c r="K12" s="10">
        <f>((F12-D12)*'Results '!K$30)/P$3</f>
        <v>0.10943809236025615</v>
      </c>
      <c r="L12" s="20">
        <f t="shared" si="4"/>
        <v>0.10943809236025615</v>
      </c>
      <c r="M12" s="10">
        <f>((F12-D12)*'Results '!K$31)/P$5</f>
        <v>3.6384003126742413E-2</v>
      </c>
      <c r="N12" s="20">
        <f t="shared" si="5"/>
        <v>3.6384003126742413E-2</v>
      </c>
      <c r="O12" s="10">
        <f t="shared" si="6"/>
        <v>0.40563036974433042</v>
      </c>
      <c r="P12" s="24">
        <f t="shared" si="7"/>
        <v>1</v>
      </c>
      <c r="Q12" s="3">
        <f t="shared" si="8"/>
        <v>0.5</v>
      </c>
      <c r="R12" s="11">
        <f>'Med Only'!I7</f>
        <v>5.3699424006172211E-2</v>
      </c>
      <c r="S12" s="64">
        <f t="shared" si="9"/>
        <v>1.5536994240061721</v>
      </c>
      <c r="T12" s="8">
        <f>(J12*'Results '!B$37)+(Staffing!L12*'Results '!C$37)+(Staffing!N12*'Results '!D$37)</f>
        <v>1256.1145679509409</v>
      </c>
      <c r="U12" s="8">
        <f>Q12*'Results '!E$37</f>
        <v>781.23697916666663</v>
      </c>
      <c r="V12" s="9">
        <f>R12*'Results '!F$37</f>
        <v>100.6847419045727</v>
      </c>
    </row>
    <row r="13" spans="1:22" s="27" customFormat="1" x14ac:dyDescent="0.2">
      <c r="A13" s="21">
        <f t="shared" si="10"/>
        <v>6</v>
      </c>
      <c r="B13" s="8">
        <f>'earned premium'!I$2</f>
        <v>504080.14713263628</v>
      </c>
      <c r="C13" s="9">
        <f t="shared" si="11"/>
        <v>1759510.0340976624</v>
      </c>
      <c r="D13" s="24">
        <f t="shared" si="0"/>
        <v>14.114244119713815</v>
      </c>
      <c r="E13" s="24">
        <f t="shared" si="12"/>
        <v>49.266280954734555</v>
      </c>
      <c r="F13" s="24">
        <f t="shared" si="13"/>
        <v>42.863921238867526</v>
      </c>
      <c r="G13" s="25">
        <f t="shared" si="2"/>
        <v>3.64343330530374</v>
      </c>
      <c r="H13" s="24">
        <f t="shared" si="14"/>
        <v>10.04579302117077</v>
      </c>
      <c r="I13" s="26">
        <f t="shared" si="1"/>
        <v>0.31227765114866818</v>
      </c>
      <c r="J13" s="68">
        <f t="shared" si="3"/>
        <v>0.31227765114866818</v>
      </c>
      <c r="K13" s="26">
        <f>((F13-D13)*'Results '!K$30)/P$3</f>
        <v>0.15989243505498565</v>
      </c>
      <c r="L13" s="68">
        <f t="shared" si="4"/>
        <v>0.15989243505498565</v>
      </c>
      <c r="M13" s="26">
        <f>((F13-D13)*'Results '!K$31)/P$5</f>
        <v>5.3158152993315208E-2</v>
      </c>
      <c r="N13" s="68">
        <f t="shared" si="5"/>
        <v>5.3158152993315208E-2</v>
      </c>
      <c r="O13" s="26">
        <f t="shared" si="6"/>
        <v>0.52532823919696903</v>
      </c>
      <c r="P13" s="24">
        <f t="shared" si="7"/>
        <v>1</v>
      </c>
      <c r="Q13" s="24">
        <f t="shared" si="8"/>
        <v>0.5</v>
      </c>
      <c r="R13" s="69">
        <f>'Med Only'!I8</f>
        <v>7.0325308639296438E-2</v>
      </c>
      <c r="S13" s="64">
        <f t="shared" si="9"/>
        <v>1.5703253086392965</v>
      </c>
      <c r="T13" s="22">
        <f>(J13*'Results '!B$37)+(Staffing!L13*'Results '!C$37)+(Staffing!N13*'Results '!D$37)</f>
        <v>1624.8811253532147</v>
      </c>
      <c r="U13" s="22">
        <f>Q13*'Results '!E$37</f>
        <v>781.23697916666663</v>
      </c>
      <c r="V13" s="23">
        <f>R13*'Results '!F$37</f>
        <v>131.85775603278586</v>
      </c>
    </row>
    <row r="14" spans="1:22" s="27" customFormat="1" x14ac:dyDescent="0.2">
      <c r="A14" s="21">
        <f t="shared" si="10"/>
        <v>7</v>
      </c>
      <c r="B14" s="8">
        <f>'earned premium'!J$2</f>
        <v>589051.74094415072</v>
      </c>
      <c r="C14" s="9">
        <f t="shared" si="11"/>
        <v>2348561.775041813</v>
      </c>
      <c r="D14" s="24">
        <f t="shared" si="0"/>
        <v>16.493448746436218</v>
      </c>
      <c r="E14" s="24">
        <f t="shared" si="12"/>
        <v>65.75972970117077</v>
      </c>
      <c r="F14" s="24">
        <f t="shared" si="13"/>
        <v>55.713936680000003</v>
      </c>
      <c r="G14" s="25">
        <f t="shared" si="2"/>
        <v>4.7356846178000005</v>
      </c>
      <c r="H14" s="24">
        <f t="shared" si="14"/>
        <v>14.78147763897077</v>
      </c>
      <c r="I14" s="26">
        <f t="shared" si="1"/>
        <v>0.36491755351490135</v>
      </c>
      <c r="J14" s="68">
        <f t="shared" si="3"/>
        <v>0.36491755351490135</v>
      </c>
      <c r="K14" s="26">
        <f>((F14-D14)*'Results '!K$30)/P$3</f>
        <v>0.21812625212282019</v>
      </c>
      <c r="L14" s="68">
        <f t="shared" si="4"/>
        <v>0.21812625212282019</v>
      </c>
      <c r="M14" s="26">
        <f>((F14-D14)*'Results '!K$31)/P$5</f>
        <v>7.2518682189159439E-2</v>
      </c>
      <c r="N14" s="68">
        <f t="shared" si="5"/>
        <v>7.2518682189159439E-2</v>
      </c>
      <c r="O14" s="26">
        <f t="shared" si="6"/>
        <v>0.65556248782688098</v>
      </c>
      <c r="P14" s="24">
        <f t="shared" si="7"/>
        <v>1</v>
      </c>
      <c r="Q14" s="24">
        <f t="shared" si="8"/>
        <v>0.5</v>
      </c>
      <c r="R14" s="69">
        <f>'Med Only'!I9</f>
        <v>8.76648197674606E-2</v>
      </c>
      <c r="S14" s="64">
        <f t="shared" si="9"/>
        <v>1.5876648197674605</v>
      </c>
      <c r="T14" s="22">
        <f>(J14*'Results '!B$37)+(Staffing!L14*'Results '!C$37)+(Staffing!N14*'Results '!D$37)</f>
        <v>2025.7587338305625</v>
      </c>
      <c r="U14" s="22">
        <f>Q14*'Results '!E$37</f>
        <v>781.23697916666663</v>
      </c>
      <c r="V14" s="23">
        <f>R14*'Results '!F$37</f>
        <v>164.3687975383709</v>
      </c>
    </row>
    <row r="15" spans="1:22" x14ac:dyDescent="0.2">
      <c r="A15" s="6">
        <f t="shared" si="10"/>
        <v>8</v>
      </c>
      <c r="B15" s="8">
        <f>'earned premium'!K$2</f>
        <v>674299.49243555253</v>
      </c>
      <c r="C15" s="9">
        <f t="shared" si="11"/>
        <v>3022861.2674773657</v>
      </c>
      <c r="D15" s="3">
        <f t="shared" si="0"/>
        <v>18.880385788195472</v>
      </c>
      <c r="E15" s="3">
        <f t="shared" si="12"/>
        <v>84.640115489366238</v>
      </c>
      <c r="F15" s="3">
        <f t="shared" si="13"/>
        <v>69.858637850395468</v>
      </c>
      <c r="G15" s="2">
        <f t="shared" si="2"/>
        <v>5.9379842172836153</v>
      </c>
      <c r="H15" s="3">
        <f t="shared" si="14"/>
        <v>20.719461856254384</v>
      </c>
      <c r="I15" s="10">
        <f t="shared" si="1"/>
        <v>0.41772853556382483</v>
      </c>
      <c r="J15" s="20">
        <f t="shared" si="3"/>
        <v>0.41772853556382483</v>
      </c>
      <c r="K15" s="10">
        <f>((F15-D15)*'Results '!K$30)/P$3</f>
        <v>0.28351750954592775</v>
      </c>
      <c r="L15" s="20">
        <f t="shared" si="4"/>
        <v>0.28351750954592775</v>
      </c>
      <c r="M15" s="10">
        <f>((F15-D15)*'Results '!K$31)/P$5</f>
        <v>9.4258788063007803E-2</v>
      </c>
      <c r="N15" s="20">
        <f t="shared" si="5"/>
        <v>9.4258788063007803E-2</v>
      </c>
      <c r="O15" s="10">
        <f t="shared" si="6"/>
        <v>0.79550483317276044</v>
      </c>
      <c r="P15" s="24">
        <f t="shared" si="7"/>
        <v>1</v>
      </c>
      <c r="Q15" s="3">
        <f t="shared" si="8"/>
        <v>0.5</v>
      </c>
      <c r="R15" s="11">
        <f>'Med Only'!I10</f>
        <v>0.10550261119467944</v>
      </c>
      <c r="S15" s="64">
        <f t="shared" si="9"/>
        <v>1.6055026111946795</v>
      </c>
      <c r="T15" s="8">
        <f>(J15*'Results '!B$37)+(Staffing!L15*'Results '!C$37)+(Staffing!N15*'Results '!D$37)</f>
        <v>2456.2241867190787</v>
      </c>
      <c r="U15" s="8">
        <f>Q15*'Results '!E$37</f>
        <v>781.23697916666663</v>
      </c>
      <c r="V15" s="9">
        <f>R15*'Results '!F$37</f>
        <v>197.8140990334241</v>
      </c>
    </row>
    <row r="16" spans="1:22" x14ac:dyDescent="0.2">
      <c r="A16" s="6">
        <f t="shared" si="10"/>
        <v>9</v>
      </c>
      <c r="B16" s="8">
        <f>'earned premium'!L$2</f>
        <v>759824.29911930137</v>
      </c>
      <c r="C16" s="9">
        <f t="shared" si="11"/>
        <v>3782685.5665966673</v>
      </c>
      <c r="D16" s="3">
        <f t="shared" si="0"/>
        <v>21.275080375340437</v>
      </c>
      <c r="E16" s="3">
        <f t="shared" si="12"/>
        <v>105.91519586470667</v>
      </c>
      <c r="F16" s="3">
        <f t="shared" si="13"/>
        <v>85.195734008452291</v>
      </c>
      <c r="G16" s="2">
        <f t="shared" si="2"/>
        <v>7.241637390718445</v>
      </c>
      <c r="H16" s="3">
        <f t="shared" si="14"/>
        <v>27.961099246972829</v>
      </c>
      <c r="I16" s="10">
        <f t="shared" si="1"/>
        <v>0.47071115330440721</v>
      </c>
      <c r="J16" s="20">
        <f t="shared" si="3"/>
        <v>0.47071115330440721</v>
      </c>
      <c r="K16" s="10">
        <f>((F16-D16)*'Results '!K$30)/P$3</f>
        <v>0.35549717366722988</v>
      </c>
      <c r="L16" s="20">
        <f t="shared" si="4"/>
        <v>0.35549717366722988</v>
      </c>
      <c r="M16" s="10">
        <f>((F16-D16)*'Results '!K$31)/P$5</f>
        <v>0.11818928856762383</v>
      </c>
      <c r="N16" s="20">
        <f t="shared" si="5"/>
        <v>0.11818928856762383</v>
      </c>
      <c r="O16" s="10">
        <f t="shared" si="6"/>
        <v>0.94439761553926094</v>
      </c>
      <c r="P16" s="24">
        <f t="shared" si="7"/>
        <v>1</v>
      </c>
      <c r="Q16" s="3">
        <f t="shared" si="8"/>
        <v>0.5</v>
      </c>
      <c r="R16" s="11">
        <f>'Med Only'!I11</f>
        <v>0.12369446645892178</v>
      </c>
      <c r="S16" s="64">
        <f t="shared" si="9"/>
        <v>1.6236944664589217</v>
      </c>
      <c r="T16" s="8">
        <f>(J16*'Results '!B$37)+(Staffing!L16*'Results '!C$37)+(Staffing!N16*'Results '!D$37)</f>
        <v>2913.9694201774937</v>
      </c>
      <c r="U16" s="8">
        <f>Q16*'Results '!E$37</f>
        <v>781.23697916666663</v>
      </c>
      <c r="V16" s="9">
        <f>R16*'Results '!F$37</f>
        <v>231.92325915840149</v>
      </c>
    </row>
    <row r="17" spans="1:22" x14ac:dyDescent="0.2">
      <c r="A17" s="6">
        <f t="shared" si="10"/>
        <v>10</v>
      </c>
      <c r="B17" s="8">
        <f>'earned premium'!M$2</f>
        <v>845627.06142477237</v>
      </c>
      <c r="C17" s="9">
        <f t="shared" si="11"/>
        <v>4628312.6280214395</v>
      </c>
      <c r="D17" s="3">
        <f t="shared" si="0"/>
        <v>23.677557719893628</v>
      </c>
      <c r="E17" s="3">
        <f t="shared" si="12"/>
        <v>129.5927535846003</v>
      </c>
      <c r="F17" s="3">
        <f t="shared" si="13"/>
        <v>101.63165433762748</v>
      </c>
      <c r="G17" s="2">
        <f t="shared" si="2"/>
        <v>8.6386906186983357</v>
      </c>
      <c r="H17" s="3">
        <f t="shared" si="14"/>
        <v>36.599789865671163</v>
      </c>
      <c r="I17" s="10">
        <f t="shared" si="1"/>
        <v>0.52386596455264656</v>
      </c>
      <c r="J17" s="20">
        <f t="shared" si="3"/>
        <v>0.52386596455264656</v>
      </c>
      <c r="K17" s="10">
        <f>((F17-D17)*'Results '!K$30)/P$3</f>
        <v>0.43354470657401223</v>
      </c>
      <c r="L17" s="20">
        <f t="shared" si="4"/>
        <v>0.43354470657401223</v>
      </c>
      <c r="M17" s="10">
        <f>((F17-D17)*'Results '!K$31)/P$5</f>
        <v>0.14413712464618988</v>
      </c>
      <c r="N17" s="20">
        <f t="shared" si="5"/>
        <v>0.14413712464618988</v>
      </c>
      <c r="O17" s="10">
        <f t="shared" si="6"/>
        <v>1.1015477957728486</v>
      </c>
      <c r="P17" s="24">
        <f t="shared" si="7"/>
        <v>1.1015477957728486</v>
      </c>
      <c r="Q17" s="3">
        <f t="shared" si="8"/>
        <v>0.55077389788642428</v>
      </c>
      <c r="R17" s="11">
        <f>'Med Only'!I12</f>
        <v>0.14214382623274593</v>
      </c>
      <c r="S17" s="64">
        <f t="shared" si="9"/>
        <v>1.7944655198920187</v>
      </c>
      <c r="T17" s="8">
        <f>(J17*'Results '!B$37)+(Staffing!L17*'Results '!C$37)+(Staffing!N17*'Results '!D$37)</f>
        <v>3396.8832282255771</v>
      </c>
      <c r="U17" s="8">
        <f>Q17*'Results '!E$37</f>
        <v>860.56987237728049</v>
      </c>
      <c r="V17" s="9">
        <f>R17*'Results '!F$37</f>
        <v>266.51523219182883</v>
      </c>
    </row>
    <row r="18" spans="1:22" x14ac:dyDescent="0.2">
      <c r="A18" s="6">
        <f t="shared" si="10"/>
        <v>11</v>
      </c>
      <c r="B18" s="8">
        <f>'earned premium'!N$2</f>
        <v>931708.68270773615</v>
      </c>
      <c r="C18" s="9">
        <f t="shared" si="11"/>
        <v>5560021.3107291758</v>
      </c>
      <c r="D18" s="3">
        <f t="shared" si="0"/>
        <v>26.087843115816611</v>
      </c>
      <c r="E18" s="3">
        <f t="shared" si="12"/>
        <v>155.68059670041691</v>
      </c>
      <c r="F18" s="3">
        <f t="shared" si="13"/>
        <v>119.08080683474574</v>
      </c>
      <c r="G18" s="2">
        <f t="shared" si="2"/>
        <v>10.121868580953389</v>
      </c>
      <c r="H18" s="3">
        <f t="shared" si="14"/>
        <v>46.721658446624552</v>
      </c>
      <c r="I18" s="10">
        <f t="shared" si="1"/>
        <v>0.57719352893744258</v>
      </c>
      <c r="J18" s="20">
        <f t="shared" si="3"/>
        <v>0.57719352893744258</v>
      </c>
      <c r="K18" s="10">
        <f>((F18-D18)*'Results '!K$30)/P$3</f>
        <v>0.51718394437527515</v>
      </c>
      <c r="L18" s="20">
        <f t="shared" si="4"/>
        <v>0.51718394437527515</v>
      </c>
      <c r="M18" s="10">
        <f>((F18-D18)*'Results '!K$31)/P$5</f>
        <v>0.17194398991629994</v>
      </c>
      <c r="N18" s="20">
        <f t="shared" si="5"/>
        <v>0.17194398991629994</v>
      </c>
      <c r="O18" s="10">
        <f t="shared" si="6"/>
        <v>1.2663214632290176</v>
      </c>
      <c r="P18" s="24">
        <f t="shared" si="7"/>
        <v>1.2663214632290176</v>
      </c>
      <c r="Q18" s="3">
        <f t="shared" si="8"/>
        <v>0.63316073161450881</v>
      </c>
      <c r="R18" s="11">
        <f>'Med Only'!I13</f>
        <v>0.16078606168241685</v>
      </c>
      <c r="S18" s="64">
        <f t="shared" si="9"/>
        <v>2.0602682565259434</v>
      </c>
      <c r="T18" s="8">
        <f>(J18*'Results '!B$37)+(Staffing!L18*'Results '!C$37)+(Staffing!N18*'Results '!D$37)</f>
        <v>3903.0345320113661</v>
      </c>
      <c r="U18" s="8">
        <f>Q18*'Results '!E$37</f>
        <v>989.2971545869508</v>
      </c>
      <c r="V18" s="9">
        <f>R18*'Results '!F$37</f>
        <v>301.46884109010404</v>
      </c>
    </row>
    <row r="19" spans="1:22" s="19" customFormat="1" x14ac:dyDescent="0.2">
      <c r="A19" s="15">
        <f t="shared" si="10"/>
        <v>12</v>
      </c>
      <c r="B19" s="8">
        <f>'earned premium'!O$2</f>
        <v>1018070.0692598696</v>
      </c>
      <c r="C19" s="17">
        <f t="shared" si="11"/>
        <v>6578091.3799890457</v>
      </c>
      <c r="D19" s="5">
        <f t="shared" si="0"/>
        <v>28.50596193927635</v>
      </c>
      <c r="E19" s="5">
        <f t="shared" si="12"/>
        <v>184.18655863969326</v>
      </c>
      <c r="F19" s="5">
        <f t="shared" si="13"/>
        <v>137.4649001930687</v>
      </c>
      <c r="G19" s="18">
        <f t="shared" si="2"/>
        <v>11.68451651641084</v>
      </c>
      <c r="H19" s="5">
        <f t="shared" si="14"/>
        <v>58.40617496303539</v>
      </c>
      <c r="I19" s="13">
        <f t="shared" si="1"/>
        <v>0.63069440790648934</v>
      </c>
      <c r="J19" s="20">
        <f t="shared" si="3"/>
        <v>0.63069440790648934</v>
      </c>
      <c r="K19" s="10">
        <f>((F19-D19)*'Results '!K$30)/P$3</f>
        <v>0.60597932582686076</v>
      </c>
      <c r="L19" s="20">
        <f t="shared" si="4"/>
        <v>0.60597932582686076</v>
      </c>
      <c r="M19" s="10">
        <f>((F19-D19)*'Results '!K$31)/P$5</f>
        <v>0.20146507683126208</v>
      </c>
      <c r="N19" s="20">
        <f t="shared" si="5"/>
        <v>0.20146507683126208</v>
      </c>
      <c r="O19" s="13">
        <f t="shared" si="6"/>
        <v>1.4381388105646122</v>
      </c>
      <c r="P19" s="24">
        <f t="shared" si="7"/>
        <v>1.4381388105646122</v>
      </c>
      <c r="Q19" s="5">
        <f t="shared" si="8"/>
        <v>0.71906940528230612</v>
      </c>
      <c r="R19" s="11">
        <f>'Med Only'!I14</f>
        <v>0.17957793761920909</v>
      </c>
      <c r="S19" s="64">
        <f t="shared" si="9"/>
        <v>2.3367861534661274</v>
      </c>
      <c r="T19" s="8">
        <f>(J19*'Results '!B$37)+(Staffing!L19*'Results '!C$37)+(Staffing!N19*'Results '!D$37)</f>
        <v>4430.6570711977793</v>
      </c>
      <c r="U19" s="8">
        <f>Q19*'Results '!E$37</f>
        <v>1123.5272199878407</v>
      </c>
      <c r="V19" s="9">
        <f>R19*'Results '!F$37</f>
        <v>336.70302122546644</v>
      </c>
    </row>
    <row r="20" spans="1:22" x14ac:dyDescent="0.2">
      <c r="A20" s="6">
        <f t="shared" si="10"/>
        <v>13</v>
      </c>
      <c r="B20" s="8">
        <f>'earned premium'!P$2</f>
        <v>1021378.7969849642</v>
      </c>
      <c r="C20" s="9">
        <f>B20+C19</f>
        <v>7599470.1769740097</v>
      </c>
      <c r="D20" s="3">
        <f t="shared" si="0"/>
        <v>28.598606315578998</v>
      </c>
      <c r="E20" s="3">
        <f t="shared" si="12"/>
        <v>212.78516495527225</v>
      </c>
      <c r="F20" s="3">
        <f t="shared" si="13"/>
        <v>154.37898999223685</v>
      </c>
      <c r="G20" s="2">
        <f t="shared" si="2"/>
        <v>13.122214149340133</v>
      </c>
      <c r="H20" s="3">
        <f t="shared" si="14"/>
        <v>71.528389112375521</v>
      </c>
      <c r="I20" s="13">
        <f t="shared" si="1"/>
        <v>0.63274416473218542</v>
      </c>
      <c r="J20" s="20">
        <f t="shared" si="3"/>
        <v>0.63274416473218542</v>
      </c>
      <c r="K20" s="10">
        <f>((F20-D20)*'Results '!K$30)/P$3</f>
        <v>0.69953244152479732</v>
      </c>
      <c r="L20" s="20">
        <f t="shared" si="4"/>
        <v>0.69953244152479732</v>
      </c>
      <c r="M20" s="10">
        <f>((F20-D20)*'Results '!K$31)/P$5</f>
        <v>0.23256792941814039</v>
      </c>
      <c r="N20" s="20">
        <f t="shared" si="5"/>
        <v>0.23256792941814039</v>
      </c>
      <c r="O20" s="10">
        <f t="shared" si="6"/>
        <v>1.564844535675123</v>
      </c>
      <c r="P20" s="24">
        <f t="shared" si="7"/>
        <v>1.564844535675123</v>
      </c>
      <c r="Q20" s="3">
        <f t="shared" si="8"/>
        <v>0.78242226783756152</v>
      </c>
      <c r="R20" s="11">
        <f>'Med Only'!I15</f>
        <v>0.19484471947814222</v>
      </c>
      <c r="S20" s="64">
        <f t="shared" si="9"/>
        <v>2.5421115229908269</v>
      </c>
      <c r="T20" s="8">
        <f>(J20*'Results '!B$37)+(Staffing!L20*'Results '!C$37)+(Staffing!N20*'Results '!D$37)</f>
        <v>4816.8099603905666</v>
      </c>
      <c r="U20" s="8">
        <f>Q20*'Results '!E$37</f>
        <v>1222.5144179162983</v>
      </c>
      <c r="V20" s="9">
        <f>R20*'Results '!F$37</f>
        <v>365.32776012403298</v>
      </c>
    </row>
    <row r="21" spans="1:22" x14ac:dyDescent="0.2">
      <c r="A21" s="6">
        <f t="shared" si="10"/>
        <v>14</v>
      </c>
      <c r="B21" s="8">
        <f>'earned premium'!Q$2</f>
        <v>1024698.2780751653</v>
      </c>
      <c r="C21" s="9">
        <f t="shared" si="11"/>
        <v>8624168.4550491758</v>
      </c>
      <c r="D21" s="3">
        <f t="shared" si="0"/>
        <v>28.691551786104633</v>
      </c>
      <c r="E21" s="3">
        <f t="shared" si="12"/>
        <v>241.47671674137689</v>
      </c>
      <c r="F21" s="3">
        <f t="shared" si="13"/>
        <v>169.94832762900137</v>
      </c>
      <c r="G21" s="2">
        <f t="shared" si="2"/>
        <v>14.445607848465118</v>
      </c>
      <c r="H21" s="3">
        <f t="shared" si="14"/>
        <v>85.973996960840637</v>
      </c>
      <c r="I21" s="13">
        <f t="shared" si="1"/>
        <v>0.63480058326756506</v>
      </c>
      <c r="J21" s="20">
        <f t="shared" si="3"/>
        <v>0.63480058326756506</v>
      </c>
      <c r="K21" s="10">
        <f>((F21-D21)*'Results '!K$30)/P$3</f>
        <v>0.78560499180318744</v>
      </c>
      <c r="L21" s="20">
        <f t="shared" si="4"/>
        <v>0.78560499180318744</v>
      </c>
      <c r="M21" s="10">
        <f>((F21-D21)*'Results '!K$31)/P$5</f>
        <v>0.26118377853351604</v>
      </c>
      <c r="N21" s="20">
        <f t="shared" si="5"/>
        <v>0.26118377853351604</v>
      </c>
      <c r="O21" s="10">
        <f t="shared" si="6"/>
        <v>1.6815893536042685</v>
      </c>
      <c r="P21" s="24">
        <f t="shared" si="7"/>
        <v>1.6815893536042685</v>
      </c>
      <c r="Q21" s="3">
        <f t="shared" si="8"/>
        <v>0.84079467680213427</v>
      </c>
      <c r="R21" s="11">
        <f>'Med Only'!I16</f>
        <v>0.20531567770276554</v>
      </c>
      <c r="S21" s="64">
        <f t="shared" si="9"/>
        <v>2.7276997081091685</v>
      </c>
      <c r="T21" s="8">
        <f>(J21*'Results '!B$37)+(Staffing!L21*'Results '!C$37)+(Staffing!N21*'Results '!D$37)</f>
        <v>5172.6188199077633</v>
      </c>
      <c r="U21" s="8">
        <f>Q21*'Results '!E$37</f>
        <v>1313.7197868086264</v>
      </c>
      <c r="V21" s="9">
        <f>R21*'Results '!F$37</f>
        <v>384.96047957775716</v>
      </c>
    </row>
    <row r="22" spans="1:22" x14ac:dyDescent="0.2">
      <c r="A22" s="6">
        <f t="shared" si="10"/>
        <v>15</v>
      </c>
      <c r="B22" s="8">
        <f>'earned premium'!R$2</f>
        <v>1028028.5474789096</v>
      </c>
      <c r="C22" s="9">
        <f t="shared" si="11"/>
        <v>9652197.0025280863</v>
      </c>
      <c r="D22" s="3">
        <f t="shared" si="0"/>
        <v>28.784799329409474</v>
      </c>
      <c r="E22" s="3">
        <f t="shared" si="12"/>
        <v>270.26151607078634</v>
      </c>
      <c r="F22" s="3">
        <f t="shared" si="13"/>
        <v>184.28751910994572</v>
      </c>
      <c r="G22" s="2">
        <f t="shared" si="2"/>
        <v>15.664439124345387</v>
      </c>
      <c r="H22" s="3">
        <f t="shared" si="14"/>
        <v>101.63843608518603</v>
      </c>
      <c r="I22" s="13">
        <f t="shared" si="1"/>
        <v>0.6368636851631847</v>
      </c>
      <c r="J22" s="20">
        <f t="shared" si="3"/>
        <v>0.6368636851631847</v>
      </c>
      <c r="K22" s="10">
        <f>((F22-D22)*'Results '!K$30)/P$3</f>
        <v>0.86483435693329025</v>
      </c>
      <c r="L22" s="20">
        <f t="shared" si="4"/>
        <v>0.86483435693329025</v>
      </c>
      <c r="M22" s="10">
        <f>((F22-D22)*'Results '!K$31)/P$5</f>
        <v>0.28752452887421148</v>
      </c>
      <c r="N22" s="20">
        <f t="shared" si="5"/>
        <v>0.28752452887421148</v>
      </c>
      <c r="O22" s="10">
        <f t="shared" si="6"/>
        <v>1.7892225709706864</v>
      </c>
      <c r="P22" s="24">
        <f t="shared" si="7"/>
        <v>1.7892225709706864</v>
      </c>
      <c r="Q22" s="3">
        <f t="shared" si="8"/>
        <v>0.89461128548534319</v>
      </c>
      <c r="R22" s="11">
        <f>'Med Only'!I17</f>
        <v>0.21257422128913345</v>
      </c>
      <c r="S22" s="64">
        <f t="shared" si="9"/>
        <v>2.8964080777451628</v>
      </c>
      <c r="T22" s="8">
        <f>(J22*'Results '!B$37)+(Staffing!L22*'Results '!C$37)+(Staffing!N22*'Results '!D$37)</f>
        <v>5500.6709489109862</v>
      </c>
      <c r="U22" s="8">
        <f>Q22*'Results '!E$37</f>
        <v>1397.8068364019557</v>
      </c>
      <c r="V22" s="9">
        <f>R22*'Results '!F$37</f>
        <v>398.57002197270992</v>
      </c>
    </row>
    <row r="23" spans="1:22" x14ac:dyDescent="0.2">
      <c r="A23" s="6">
        <f t="shared" si="10"/>
        <v>16</v>
      </c>
      <c r="B23" s="8">
        <f>'earned premium'!S$2</f>
        <v>1031369.6402582161</v>
      </c>
      <c r="C23" s="9">
        <f t="shared" si="11"/>
        <v>10683566.642786302</v>
      </c>
      <c r="D23" s="3">
        <f t="shared" si="0"/>
        <v>28.878349927230047</v>
      </c>
      <c r="E23" s="3">
        <f t="shared" si="12"/>
        <v>299.13986599801638</v>
      </c>
      <c r="F23" s="3">
        <f t="shared" si="13"/>
        <v>197.50142991283036</v>
      </c>
      <c r="G23" s="2">
        <f t="shared" si="2"/>
        <v>16.787621542590582</v>
      </c>
      <c r="H23" s="3">
        <f t="shared" si="14"/>
        <v>118.42605762777661</v>
      </c>
      <c r="I23" s="13">
        <f t="shared" si="1"/>
        <v>0.63893349213996486</v>
      </c>
      <c r="J23" s="20">
        <f t="shared" si="3"/>
        <v>0.63893349213996486</v>
      </c>
      <c r="K23" s="10">
        <f>((F23-D23)*'Results '!K$30)/P$3</f>
        <v>0.93780374484299289</v>
      </c>
      <c r="L23" s="20">
        <f t="shared" si="4"/>
        <v>0.93780374484299289</v>
      </c>
      <c r="M23" s="10">
        <f>((F23-D23)*'Results '!K$31)/P$5</f>
        <v>0.31178407489337501</v>
      </c>
      <c r="N23" s="20">
        <f t="shared" si="5"/>
        <v>0.31178407489337501</v>
      </c>
      <c r="O23" s="10">
        <f t="shared" si="6"/>
        <v>1.8885213118763327</v>
      </c>
      <c r="P23" s="24">
        <f t="shared" si="7"/>
        <v>1.8885213118763327</v>
      </c>
      <c r="Q23" s="3">
        <f t="shared" si="8"/>
        <v>0.94426065593816633</v>
      </c>
      <c r="R23" s="11">
        <f>'Med Only'!I18</f>
        <v>0.21768123682299192</v>
      </c>
      <c r="S23" s="64">
        <f t="shared" si="9"/>
        <v>3.0504632046374911</v>
      </c>
      <c r="T23" s="8">
        <f>(J23*'Results '!B$37)+(Staffing!L23*'Results '!C$37)+(Staffing!N23*'Results '!D$37)</f>
        <v>5803.3337523171949</v>
      </c>
      <c r="U23" s="8">
        <f>Q23*'Results '!E$37</f>
        <v>1475.3826847821365</v>
      </c>
      <c r="V23" s="9">
        <f>R23*'Results '!F$37</f>
        <v>408.14551650445912</v>
      </c>
    </row>
    <row r="24" spans="1:22" x14ac:dyDescent="0.2">
      <c r="A24" s="6">
        <f t="shared" si="10"/>
        <v>17</v>
      </c>
      <c r="B24" s="8">
        <f>'earned premium'!T$2</f>
        <v>1034721.5915890555</v>
      </c>
      <c r="C24" s="9">
        <f t="shared" si="11"/>
        <v>11718288.234375358</v>
      </c>
      <c r="D24" s="3">
        <f t="shared" si="0"/>
        <v>28.972204564493556</v>
      </c>
      <c r="E24" s="3">
        <f t="shared" si="12"/>
        <v>328.11207056250993</v>
      </c>
      <c r="F24" s="3">
        <f t="shared" si="13"/>
        <v>209.6860129347333</v>
      </c>
      <c r="G24" s="2">
        <f t="shared" si="2"/>
        <v>17.823311099452333</v>
      </c>
      <c r="H24" s="3">
        <f t="shared" si="14"/>
        <v>136.24936872722895</v>
      </c>
      <c r="I24" s="13">
        <f t="shared" si="1"/>
        <v>0.64101002598942003</v>
      </c>
      <c r="J24" s="20">
        <f t="shared" si="3"/>
        <v>0.64101002598942003</v>
      </c>
      <c r="K24" s="10">
        <f>((F24-D24)*'Results '!K$30)/P$3</f>
        <v>1.0050467957821798</v>
      </c>
      <c r="L24" s="20">
        <f t="shared" si="4"/>
        <v>1.0050467957821798</v>
      </c>
      <c r="M24" s="10">
        <f>((F24-D24)*'Results '!K$31)/P$5</f>
        <v>0.3341398316765733</v>
      </c>
      <c r="N24" s="20">
        <f t="shared" si="5"/>
        <v>0.3341398316765733</v>
      </c>
      <c r="O24" s="10">
        <f t="shared" si="6"/>
        <v>1.9801966534481732</v>
      </c>
      <c r="P24" s="24">
        <f t="shared" si="7"/>
        <v>1.9801966534481732</v>
      </c>
      <c r="Q24" s="3">
        <f t="shared" si="8"/>
        <v>0.9900983267240866</v>
      </c>
      <c r="R24" s="11">
        <f>'Med Only'!I19</f>
        <v>0.22134752088349471</v>
      </c>
      <c r="S24" s="64">
        <f t="shared" si="9"/>
        <v>3.1916425010557545</v>
      </c>
      <c r="T24" s="8">
        <f>(J24*'Results '!B$37)+(Staffing!L24*'Results '!C$37)+(Staffing!N24*'Results '!D$37)</f>
        <v>6082.7734318945822</v>
      </c>
      <c r="U24" s="8">
        <f>Q24*'Results '!E$37</f>
        <v>1547.0028516957934</v>
      </c>
      <c r="V24" s="9">
        <f>R24*'Results '!F$37</f>
        <v>415.01968454652496</v>
      </c>
    </row>
    <row r="25" spans="1:22" x14ac:dyDescent="0.2">
      <c r="A25" s="6">
        <f t="shared" si="10"/>
        <v>18</v>
      </c>
      <c r="B25" s="8">
        <f>'earned premium'!U$2</f>
        <v>1038084.4367617196</v>
      </c>
      <c r="C25" s="9">
        <f t="shared" si="11"/>
        <v>12756372.671137078</v>
      </c>
      <c r="D25" s="3">
        <f t="shared" si="0"/>
        <v>29.066364229328151</v>
      </c>
      <c r="E25" s="3">
        <f t="shared" si="12"/>
        <v>357.17843479183807</v>
      </c>
      <c r="F25" s="3">
        <f t="shared" si="13"/>
        <v>220.92906606460912</v>
      </c>
      <c r="G25" s="2">
        <f t="shared" si="2"/>
        <v>18.778970615491776</v>
      </c>
      <c r="H25" s="3">
        <f t="shared" si="14"/>
        <v>155.02833934272073</v>
      </c>
      <c r="I25" s="13">
        <f t="shared" si="1"/>
        <v>0.64309330857388536</v>
      </c>
      <c r="J25" s="20">
        <f t="shared" ref="J25:J40" si="15">(I25*1)*Q$3</f>
        <v>0.64309330857388536</v>
      </c>
      <c r="K25" s="10">
        <f>((F25-D25)*'Results '!K$30)/P$3</f>
        <v>1.0670517955916015</v>
      </c>
      <c r="L25" s="20">
        <f t="shared" ref="L25:L40" si="16">(K25*1)*Q$3</f>
        <v>1.0670517955916015</v>
      </c>
      <c r="M25" s="10">
        <f>((F25-D25)*'Results '!K$31)/P$5</f>
        <v>0.3547541356934345</v>
      </c>
      <c r="N25" s="20">
        <f t="shared" ref="N25:N40" si="17">(M25*1)*Q$3</f>
        <v>0.3547541356934345</v>
      </c>
      <c r="O25" s="10">
        <f t="shared" ref="O25:O40" si="18">I25+K25+M25</f>
        <v>2.0648992398589212</v>
      </c>
      <c r="P25" s="24">
        <f t="shared" ref="P25:P40" si="19">IF(O25&lt;1,1,O25)*Q$3</f>
        <v>2.0648992398589212</v>
      </c>
      <c r="Q25" s="3">
        <f t="shared" ref="Q25:Q40" si="20">P25*Q$5</f>
        <v>1.0324496199294606</v>
      </c>
      <c r="R25" s="11">
        <f>'Med Only'!I20</f>
        <v>0.22404930975372092</v>
      </c>
      <c r="S25" s="64">
        <f t="shared" ref="S25:S40" si="21">SUM(P25:R25)</f>
        <v>3.3213981695421029</v>
      </c>
      <c r="T25" s="8">
        <f>(J25*'Results '!B$37)+(Staffing!L25*'Results '!C$37)+(Staffing!N25*'Results '!D$37)</f>
        <v>6340.9720886155965</v>
      </c>
      <c r="U25" s="8">
        <f>Q25*'Results '!E$37</f>
        <v>1613.1756444309299</v>
      </c>
      <c r="V25" s="9">
        <f>R25*'Results '!F$37</f>
        <v>420.08545424729692</v>
      </c>
    </row>
    <row r="26" spans="1:22" x14ac:dyDescent="0.2">
      <c r="A26" s="6">
        <f t="shared" ref="A26:A41" si="22">A25+1</f>
        <v>19</v>
      </c>
      <c r="B26" s="8">
        <f>'earned premium'!V$2</f>
        <v>1041458.2111811952</v>
      </c>
      <c r="C26" s="9">
        <f t="shared" ref="C26:C41" si="23">B26+C25</f>
        <v>13797830.882318273</v>
      </c>
      <c r="D26" s="3">
        <f t="shared" si="0"/>
        <v>29.160829913073464</v>
      </c>
      <c r="E26" s="3">
        <f t="shared" ref="E26:E41" si="24">D26+E25</f>
        <v>386.33926470491156</v>
      </c>
      <c r="F26" s="3">
        <f t="shared" ref="F26:F41" si="25">E26-H25</f>
        <v>231.31092536219083</v>
      </c>
      <c r="G26" s="2">
        <f t="shared" si="2"/>
        <v>19.661428655786221</v>
      </c>
      <c r="H26" s="3">
        <f t="shared" ref="H26:H41" si="26">G26+H25</f>
        <v>174.68976799850694</v>
      </c>
      <c r="I26" s="13">
        <f t="shared" si="1"/>
        <v>0.6451833618267504</v>
      </c>
      <c r="J26" s="20">
        <f t="shared" si="15"/>
        <v>0.6451833618267504</v>
      </c>
      <c r="K26" s="10">
        <f>((F26-D26)*'Results '!K$30)/P$3</f>
        <v>1.1242655308439375</v>
      </c>
      <c r="L26" s="20">
        <f t="shared" si="16"/>
        <v>1.1242655308439375</v>
      </c>
      <c r="M26" s="10">
        <f>((F26-D26)*'Results '!K$31)/P$5</f>
        <v>0.37377552648541801</v>
      </c>
      <c r="N26" s="20">
        <f t="shared" si="17"/>
        <v>0.37377552648541801</v>
      </c>
      <c r="O26" s="10">
        <f t="shared" si="18"/>
        <v>2.1432244191561058</v>
      </c>
      <c r="P26" s="24">
        <f t="shared" si="19"/>
        <v>2.1432244191561058</v>
      </c>
      <c r="Q26" s="3">
        <f t="shared" si="20"/>
        <v>1.0716122095780529</v>
      </c>
      <c r="R26" s="11">
        <f>'Med Only'!I21</f>
        <v>0.22610568432674821</v>
      </c>
      <c r="S26" s="64">
        <f t="shared" si="21"/>
        <v>3.4409423130609071</v>
      </c>
      <c r="T26" s="8">
        <f>(J26*'Results '!B$37)+(Staffing!L26*'Results '!C$37)+(Staffing!N26*'Results '!D$37)</f>
        <v>6579.7433713102273</v>
      </c>
      <c r="U26" s="8">
        <f>Q26*'Results '!E$37</f>
        <v>1674.36617089775</v>
      </c>
      <c r="V26" s="9">
        <f>R26*'Results '!F$37</f>
        <v>423.94109231001767</v>
      </c>
    </row>
    <row r="27" spans="1:22" x14ac:dyDescent="0.2">
      <c r="A27" s="6">
        <f t="shared" si="22"/>
        <v>20</v>
      </c>
      <c r="B27" s="8">
        <f>'earned premium'!W$2</f>
        <v>1044842.9503675341</v>
      </c>
      <c r="C27" s="9">
        <f t="shared" si="23"/>
        <v>14842673.832685808</v>
      </c>
      <c r="D27" s="3">
        <f t="shared" si="0"/>
        <v>29.255602610290953</v>
      </c>
      <c r="E27" s="3">
        <f t="shared" si="24"/>
        <v>415.59486731520252</v>
      </c>
      <c r="F27" s="3">
        <f t="shared" si="25"/>
        <v>240.90509931669558</v>
      </c>
      <c r="G27" s="2">
        <f t="shared" si="2"/>
        <v>20.476933441919126</v>
      </c>
      <c r="H27" s="3">
        <f t="shared" si="26"/>
        <v>195.16670144042607</v>
      </c>
      <c r="I27" s="13">
        <f t="shared" si="1"/>
        <v>0.64728020775268735</v>
      </c>
      <c r="J27" s="20">
        <f t="shared" si="15"/>
        <v>0.64728020775268735</v>
      </c>
      <c r="K27" s="10">
        <f>((F27-D27)*'Results '!K$30)/P$3</f>
        <v>1.1770968162979276</v>
      </c>
      <c r="L27" s="20">
        <f t="shared" si="16"/>
        <v>1.1770968162979276</v>
      </c>
      <c r="M27" s="10">
        <f>((F27-D27)*'Results '!K$31)/P$5</f>
        <v>0.39133991941014218</v>
      </c>
      <c r="N27" s="20">
        <f t="shared" si="17"/>
        <v>0.39133991941014218</v>
      </c>
      <c r="O27" s="10">
        <f t="shared" si="18"/>
        <v>2.2157169434607571</v>
      </c>
      <c r="P27" s="24">
        <f t="shared" si="19"/>
        <v>2.2157169434607571</v>
      </c>
      <c r="Q27" s="3">
        <f t="shared" si="20"/>
        <v>1.1078584717303785</v>
      </c>
      <c r="R27" s="11">
        <f>'Med Only'!I22</f>
        <v>0.2277304313927497</v>
      </c>
      <c r="S27" s="64">
        <f t="shared" si="21"/>
        <v>3.5513058465838854</v>
      </c>
      <c r="T27" s="8">
        <f>(J27*'Results '!B$37)+(Staffing!L27*'Results '!C$37)+(Staffing!N27*'Results '!D$37)</f>
        <v>6800.7467951840545</v>
      </c>
      <c r="U27" s="8">
        <f>Q27*'Results '!E$37</f>
        <v>1731.0000115976818</v>
      </c>
      <c r="V27" s="9">
        <f>R27*'Results '!F$37</f>
        <v>426.98744228542466</v>
      </c>
    </row>
    <row r="28" spans="1:22" x14ac:dyDescent="0.2">
      <c r="A28" s="6">
        <f t="shared" si="22"/>
        <v>21</v>
      </c>
      <c r="B28" s="8">
        <f>'earned premium'!X$2</f>
        <v>1048238.6899562285</v>
      </c>
      <c r="C28" s="9">
        <f t="shared" si="23"/>
        <v>15890912.522642037</v>
      </c>
      <c r="D28" s="3">
        <f t="shared" si="0"/>
        <v>29.350683318774394</v>
      </c>
      <c r="E28" s="3">
        <f t="shared" si="24"/>
        <v>444.94555063397689</v>
      </c>
      <c r="F28" s="3">
        <f t="shared" si="25"/>
        <v>249.77884919355083</v>
      </c>
      <c r="G28" s="2">
        <f t="shared" si="2"/>
        <v>21.23120218145182</v>
      </c>
      <c r="H28" s="3">
        <f t="shared" si="26"/>
        <v>216.3979036218779</v>
      </c>
      <c r="I28" s="13">
        <f t="shared" si="1"/>
        <v>0.64938386842788354</v>
      </c>
      <c r="J28" s="20">
        <f t="shared" si="15"/>
        <v>0.64938386842788354</v>
      </c>
      <c r="K28" s="10">
        <f>((F28-D28)*'Results '!K$30)/P$3</f>
        <v>1.2259197225189493</v>
      </c>
      <c r="L28" s="20">
        <f t="shared" si="16"/>
        <v>1.2259197225189493</v>
      </c>
      <c r="M28" s="10">
        <f>((F28-D28)*'Results '!K$31)/P$5</f>
        <v>0.40757167870246164</v>
      </c>
      <c r="N28" s="20">
        <f t="shared" si="17"/>
        <v>0.40757167870246164</v>
      </c>
      <c r="O28" s="10">
        <f t="shared" si="18"/>
        <v>2.2828752696492947</v>
      </c>
      <c r="P28" s="24">
        <f t="shared" si="19"/>
        <v>2.2828752696492947</v>
      </c>
      <c r="Q28" s="3">
        <f t="shared" si="20"/>
        <v>1.1414376348246473</v>
      </c>
      <c r="R28" s="11">
        <f>'Med Only'!I23</f>
        <v>0.22906679070137564</v>
      </c>
      <c r="S28" s="64">
        <f t="shared" si="21"/>
        <v>3.6533796951753175</v>
      </c>
      <c r="T28" s="8">
        <f>(J28*'Results '!B$37)+(Staffing!L28*'Results '!C$37)+(Staffing!N28*'Results '!D$37)</f>
        <v>7005.5008432625191</v>
      </c>
      <c r="U28" s="8">
        <f>Q28*'Results '!E$37</f>
        <v>1783.4665794751045</v>
      </c>
      <c r="V28" s="9">
        <f>R28*'Results '!F$37</f>
        <v>429.4930742278699</v>
      </c>
    </row>
    <row r="29" spans="1:22" x14ac:dyDescent="0.2">
      <c r="A29" s="6">
        <f t="shared" si="22"/>
        <v>22</v>
      </c>
      <c r="B29" s="8">
        <f>'earned premium'!Y$2</f>
        <v>1051645.4656985861</v>
      </c>
      <c r="C29" s="9">
        <f t="shared" si="23"/>
        <v>16942557.988340624</v>
      </c>
      <c r="D29" s="3">
        <f t="shared" si="0"/>
        <v>29.44607303956041</v>
      </c>
      <c r="E29" s="3">
        <f t="shared" si="24"/>
        <v>474.39162367353731</v>
      </c>
      <c r="F29" s="3">
        <f t="shared" si="25"/>
        <v>257.99372005165941</v>
      </c>
      <c r="G29" s="2">
        <f t="shared" si="2"/>
        <v>21.929466204391051</v>
      </c>
      <c r="H29" s="3">
        <f t="shared" si="26"/>
        <v>238.32736982626895</v>
      </c>
      <c r="I29" s="13">
        <f t="shared" si="1"/>
        <v>0.65149436600027411</v>
      </c>
      <c r="J29" s="20">
        <f t="shared" si="15"/>
        <v>0.65149436600027411</v>
      </c>
      <c r="K29" s="10">
        <f>((F29-D29)*'Results '!K$30)/P$3</f>
        <v>1.2710765291519048</v>
      </c>
      <c r="L29" s="20">
        <f t="shared" si="16"/>
        <v>1.2710765291519048</v>
      </c>
      <c r="M29" s="10">
        <f>((F29-D29)*'Results '!K$31)/P$5</f>
        <v>0.42258459932537107</v>
      </c>
      <c r="N29" s="20">
        <f t="shared" si="17"/>
        <v>0.42258459932537107</v>
      </c>
      <c r="O29" s="10">
        <f t="shared" si="18"/>
        <v>2.3451554944775501</v>
      </c>
      <c r="P29" s="24">
        <f t="shared" si="19"/>
        <v>2.3451554944775501</v>
      </c>
      <c r="Q29" s="3">
        <f t="shared" si="20"/>
        <v>1.1725777472387751</v>
      </c>
      <c r="R29" s="11">
        <f>'Med Only'!I24</f>
        <v>0.23021073549357673</v>
      </c>
      <c r="S29" s="64">
        <f t="shared" si="21"/>
        <v>3.7479439772099017</v>
      </c>
      <c r="T29" s="8">
        <f>(J29*'Results '!B$37)+(Staffing!L29*'Results '!C$37)+(Staffing!N29*'Results '!D$37)</f>
        <v>7195.3949542127393</v>
      </c>
      <c r="U29" s="8">
        <f>Q29*'Results '!E$37</f>
        <v>1832.1221941817516</v>
      </c>
      <c r="V29" s="9">
        <f>R29*'Results '!F$37</f>
        <v>431.6379349649722</v>
      </c>
    </row>
    <row r="30" spans="1:22" x14ac:dyDescent="0.2">
      <c r="A30" s="6">
        <f t="shared" si="22"/>
        <v>23</v>
      </c>
      <c r="B30" s="8">
        <f>'earned premium'!Z$2</f>
        <v>1055063.3134621065</v>
      </c>
      <c r="C30" s="9">
        <f t="shared" si="23"/>
        <v>17997621.301802732</v>
      </c>
      <c r="D30" s="3">
        <f t="shared" si="0"/>
        <v>29.541772776938984</v>
      </c>
      <c r="E30" s="3">
        <f t="shared" si="24"/>
        <v>503.93339645047627</v>
      </c>
      <c r="F30" s="3">
        <f t="shared" si="25"/>
        <v>265.60602662420729</v>
      </c>
      <c r="G30" s="2">
        <f t="shared" si="2"/>
        <v>22.576512263057619</v>
      </c>
      <c r="H30" s="3">
        <f t="shared" si="26"/>
        <v>260.90388208932654</v>
      </c>
      <c r="I30" s="13">
        <f t="shared" si="1"/>
        <v>0.65361172268977508</v>
      </c>
      <c r="J30" s="20">
        <f t="shared" si="15"/>
        <v>0.65361172268977508</v>
      </c>
      <c r="K30" s="10">
        <f>((F30-D30)*'Results '!K$30)/P$3</f>
        <v>1.3128804271659618</v>
      </c>
      <c r="L30" s="20">
        <f t="shared" si="16"/>
        <v>1.3128804271659618</v>
      </c>
      <c r="M30" s="10">
        <f>((F30-D30)*'Results '!K$31)/P$5</f>
        <v>0.43648280536359912</v>
      </c>
      <c r="N30" s="20">
        <f t="shared" si="17"/>
        <v>0.43648280536359912</v>
      </c>
      <c r="O30" s="10">
        <f t="shared" si="18"/>
        <v>2.402974955219336</v>
      </c>
      <c r="P30" s="24">
        <f t="shared" si="19"/>
        <v>2.402974955219336</v>
      </c>
      <c r="Q30" s="3">
        <f t="shared" si="20"/>
        <v>1.201487477609668</v>
      </c>
      <c r="R30" s="11">
        <f>'Med Only'!I25</f>
        <v>0.23122657045795342</v>
      </c>
      <c r="S30" s="64">
        <f t="shared" si="21"/>
        <v>3.8356890032869573</v>
      </c>
      <c r="T30" s="8">
        <f>(J30*'Results '!B$37)+(Staffing!L30*'Results '!C$37)+(Staffing!N30*'Results '!D$37)</f>
        <v>7371.7004912007287</v>
      </c>
      <c r="U30" s="8">
        <f>Q30*'Results '!E$37</f>
        <v>1877.2928950287101</v>
      </c>
      <c r="V30" s="9">
        <f>R30*'Results '!F$37</f>
        <v>433.54259377833586</v>
      </c>
    </row>
    <row r="31" spans="1:22" s="19" customFormat="1" x14ac:dyDescent="0.2">
      <c r="A31" s="15">
        <f t="shared" si="22"/>
        <v>24</v>
      </c>
      <c r="B31" s="8">
        <f>'earned premium'!AA$2</f>
        <v>1058492.2692308584</v>
      </c>
      <c r="C31" s="17">
        <f t="shared" si="23"/>
        <v>19056113.57103359</v>
      </c>
      <c r="D31" s="5">
        <f t="shared" si="0"/>
        <v>29.637783538464038</v>
      </c>
      <c r="E31" s="5">
        <f t="shared" si="24"/>
        <v>533.57117998894034</v>
      </c>
      <c r="F31" s="5">
        <f t="shared" si="25"/>
        <v>272.6672978996138</v>
      </c>
      <c r="G31" s="18">
        <f t="shared" si="2"/>
        <v>23.176720321467176</v>
      </c>
      <c r="H31" s="5">
        <f t="shared" si="26"/>
        <v>284.08060241079374</v>
      </c>
      <c r="I31" s="13">
        <f t="shared" si="1"/>
        <v>0.65573596078851693</v>
      </c>
      <c r="J31" s="20">
        <f t="shared" si="15"/>
        <v>0.65573596078851693</v>
      </c>
      <c r="K31" s="10">
        <f>((F31-D31)*'Results '!K$30)/P$3</f>
        <v>1.3516179914085487</v>
      </c>
      <c r="L31" s="20">
        <f t="shared" si="16"/>
        <v>1.3516179914085487</v>
      </c>
      <c r="M31" s="10">
        <f>((F31-D31)*'Results '!K$31)/P$5</f>
        <v>0.44936157205376592</v>
      </c>
      <c r="N31" s="20">
        <f t="shared" si="17"/>
        <v>0.44936157205376592</v>
      </c>
      <c r="O31" s="13">
        <f t="shared" si="18"/>
        <v>2.4567155242508312</v>
      </c>
      <c r="P31" s="24">
        <f t="shared" si="19"/>
        <v>2.4567155242508312</v>
      </c>
      <c r="Q31" s="3">
        <f t="shared" si="20"/>
        <v>1.2283577621254156</v>
      </c>
      <c r="R31" s="33">
        <f>'Med Only'!I26</f>
        <v>0.23215738236153688</v>
      </c>
      <c r="S31" s="64">
        <f t="shared" si="21"/>
        <v>3.9172306687377838</v>
      </c>
      <c r="T31" s="8">
        <f>(J31*'Results '!B$37)+(Staffing!L31*'Results '!C$37)+(Staffing!N31*'Results '!D$37)</f>
        <v>7535.5807783960554</v>
      </c>
      <c r="U31" s="8">
        <f>Q31*'Results '!E$37</f>
        <v>1919.277014837573</v>
      </c>
      <c r="V31" s="9">
        <f>R31*'Results '!F$37</f>
        <v>435.28783700968285</v>
      </c>
    </row>
    <row r="32" spans="1:22" x14ac:dyDescent="0.2">
      <c r="A32" s="6">
        <f t="shared" si="22"/>
        <v>25</v>
      </c>
      <c r="B32" s="8">
        <f>'earned premium'!AB$2</f>
        <v>1061932.3691058587</v>
      </c>
      <c r="C32" s="9">
        <f>B32</f>
        <v>1061932.3691058587</v>
      </c>
      <c r="D32" s="3">
        <f t="shared" si="0"/>
        <v>29.734106334964043</v>
      </c>
      <c r="E32" s="3">
        <f t="shared" si="24"/>
        <v>563.3052863239044</v>
      </c>
      <c r="F32" s="3">
        <f t="shared" si="25"/>
        <v>279.22468391311065</v>
      </c>
      <c r="G32" s="2">
        <f t="shared" si="2"/>
        <v>23.734098132614406</v>
      </c>
      <c r="H32" s="3">
        <f t="shared" si="26"/>
        <v>307.81470054340815</v>
      </c>
      <c r="I32" s="13">
        <f t="shared" si="1"/>
        <v>0.65786710266107951</v>
      </c>
      <c r="J32" s="20">
        <f t="shared" si="15"/>
        <v>0.65786710266107951</v>
      </c>
      <c r="K32" s="10">
        <f>((F32-D32)*'Results '!K$30)/P$3</f>
        <v>1.3875514429923079</v>
      </c>
      <c r="L32" s="20">
        <f t="shared" si="16"/>
        <v>1.3875514429923079</v>
      </c>
      <c r="M32" s="10">
        <f>((F32-D32)*'Results '!K$31)/P$5</f>
        <v>0.46130807794199308</v>
      </c>
      <c r="N32" s="20">
        <f t="shared" si="17"/>
        <v>0.46130807794199308</v>
      </c>
      <c r="O32" s="10">
        <f t="shared" si="18"/>
        <v>2.5067266235953807</v>
      </c>
      <c r="P32" s="24">
        <f t="shared" si="19"/>
        <v>2.5067266235953807</v>
      </c>
      <c r="Q32" s="3">
        <f t="shared" si="20"/>
        <v>1.2533633117976903</v>
      </c>
      <c r="R32" s="11">
        <f>'Med Only'!I27</f>
        <v>0.23303204197244057</v>
      </c>
      <c r="S32" s="64">
        <f t="shared" si="21"/>
        <v>3.993121977365512</v>
      </c>
      <c r="T32" s="8">
        <f>(J32*'Results '!B$37)+(Staffing!L32*'Results '!C$37)+(Staffing!N32*'Results '!D$37)</f>
        <v>7688.1002843738552</v>
      </c>
      <c r="U32" s="8">
        <f>Q32*'Results '!E$37</f>
        <v>1958.3475350143131</v>
      </c>
      <c r="V32" s="9">
        <f>R32*'Results '!F$37</f>
        <v>436.92779644701443</v>
      </c>
    </row>
    <row r="33" spans="1:22" x14ac:dyDescent="0.2">
      <c r="A33" s="6">
        <f t="shared" si="22"/>
        <v>26</v>
      </c>
      <c r="B33" s="8">
        <f>'earned premium'!AC$2</f>
        <v>1065383.6493054526</v>
      </c>
      <c r="C33" s="9">
        <f t="shared" si="23"/>
        <v>2127316.0184113113</v>
      </c>
      <c r="D33" s="3">
        <f t="shared" si="0"/>
        <v>29.830742180552669</v>
      </c>
      <c r="E33" s="3">
        <f t="shared" si="24"/>
        <v>593.13602850445704</v>
      </c>
      <c r="F33" s="3">
        <f t="shared" si="25"/>
        <v>285.32132796104889</v>
      </c>
      <c r="G33" s="2">
        <f t="shared" si="2"/>
        <v>24.252312876689157</v>
      </c>
      <c r="H33" s="3">
        <f t="shared" si="26"/>
        <v>332.06701342009728</v>
      </c>
      <c r="I33" s="13">
        <f t="shared" si="1"/>
        <v>0.66000517074472786</v>
      </c>
      <c r="J33" s="20">
        <f t="shared" si="15"/>
        <v>0.66000517074472786</v>
      </c>
      <c r="K33" s="10">
        <f>((F33-D33)*'Results '!K$30)/P$3</f>
        <v>1.4209207193792217</v>
      </c>
      <c r="L33" s="20">
        <f t="shared" si="16"/>
        <v>1.4209207193792217</v>
      </c>
      <c r="M33" s="10">
        <f>((F33-D33)*'Results '!K$31)/P$5</f>
        <v>0.47240209310813752</v>
      </c>
      <c r="N33" s="20">
        <f t="shared" si="17"/>
        <v>0.47240209310813752</v>
      </c>
      <c r="O33" s="10">
        <f t="shared" si="18"/>
        <v>2.5533279832320868</v>
      </c>
      <c r="P33" s="24">
        <f t="shared" si="19"/>
        <v>2.5533279832320868</v>
      </c>
      <c r="Q33" s="3">
        <f t="shared" si="20"/>
        <v>1.2766639916160434</v>
      </c>
      <c r="R33" s="11">
        <f>'Med Only'!I28</f>
        <v>0.23386989534806416</v>
      </c>
      <c r="S33" s="64">
        <f t="shared" si="21"/>
        <v>4.0638618701961944</v>
      </c>
      <c r="T33" s="8">
        <f>(J33*'Results '!B$37)+(Staffing!L33*'Results '!C$37)+(Staffing!N33*'Results '!D$37)</f>
        <v>7830.2330249280003</v>
      </c>
      <c r="U33" s="8">
        <f>Q33*'Results '!E$37</f>
        <v>1994.7542404419528</v>
      </c>
      <c r="V33" s="9">
        <f>R33*'Results '!F$37</f>
        <v>438.49874534339068</v>
      </c>
    </row>
    <row r="34" spans="1:22" x14ac:dyDescent="0.2">
      <c r="A34" s="6">
        <f t="shared" si="22"/>
        <v>27</v>
      </c>
      <c r="B34" s="8">
        <f>'earned premium'!AD$2</f>
        <v>1068846.1461656953</v>
      </c>
      <c r="C34" s="9">
        <f t="shared" si="23"/>
        <v>3196162.1645770064</v>
      </c>
      <c r="D34" s="3">
        <f t="shared" si="0"/>
        <v>29.927692092639468</v>
      </c>
      <c r="E34" s="3">
        <f t="shared" si="24"/>
        <v>623.06372059709656</v>
      </c>
      <c r="F34" s="3">
        <f t="shared" si="25"/>
        <v>290.99670717699928</v>
      </c>
      <c r="G34" s="2">
        <f t="shared" si="2"/>
        <v>24.73472011004494</v>
      </c>
      <c r="H34" s="3">
        <f t="shared" si="26"/>
        <v>356.8017335301422</v>
      </c>
      <c r="I34" s="13">
        <f t="shared" si="1"/>
        <v>0.66215018754964827</v>
      </c>
      <c r="J34" s="20">
        <f t="shared" si="15"/>
        <v>0.66215018754964827</v>
      </c>
      <c r="K34" s="10">
        <f>((F34-D34)*'Results '!K$30)/P$3</f>
        <v>1.4519453685076322</v>
      </c>
      <c r="L34" s="20">
        <f t="shared" si="16"/>
        <v>1.4519453685076322</v>
      </c>
      <c r="M34" s="10">
        <f>((F34-D34)*'Results '!K$31)/P$5</f>
        <v>0.48271660889098128</v>
      </c>
      <c r="N34" s="20">
        <f t="shared" si="17"/>
        <v>0.48271660889098128</v>
      </c>
      <c r="O34" s="10">
        <f t="shared" si="18"/>
        <v>2.5968121649482616</v>
      </c>
      <c r="P34" s="24">
        <f t="shared" si="19"/>
        <v>2.5968121649482616</v>
      </c>
      <c r="Q34" s="3">
        <f t="shared" si="20"/>
        <v>1.2984060824741308</v>
      </c>
      <c r="R34" s="11">
        <f>'Med Only'!I29</f>
        <v>0.23468390699821828</v>
      </c>
      <c r="S34" s="64">
        <f t="shared" si="21"/>
        <v>4.1299021544206109</v>
      </c>
      <c r="T34" s="8">
        <f>(J34*'Results '!B$37)+(Staffing!L34*'Results '!C$37)+(Staffing!N34*'Results '!D$37)</f>
        <v>7962.8702516454068</v>
      </c>
      <c r="U34" s="8">
        <f>Q34*'Results '!E$37</f>
        <v>2028.7256912074315</v>
      </c>
      <c r="V34" s="9">
        <f>R34*'Results '!F$37</f>
        <v>440.02499174956557</v>
      </c>
    </row>
    <row r="35" spans="1:22" x14ac:dyDescent="0.2">
      <c r="A35" s="6">
        <f t="shared" si="22"/>
        <v>28</v>
      </c>
      <c r="B35" s="8">
        <f>'earned premium'!AE$2</f>
        <v>1072319.8961407337</v>
      </c>
      <c r="C35" s="9">
        <f t="shared" si="23"/>
        <v>4268482.0607177401</v>
      </c>
      <c r="D35" s="3">
        <f t="shared" si="0"/>
        <v>30.024957091940543</v>
      </c>
      <c r="E35" s="3">
        <f t="shared" si="24"/>
        <v>653.08867768903713</v>
      </c>
      <c r="F35" s="3">
        <f t="shared" si="25"/>
        <v>296.28694415889493</v>
      </c>
      <c r="G35" s="2">
        <f t="shared" si="2"/>
        <v>25.18439025350607</v>
      </c>
      <c r="H35" s="3">
        <f t="shared" si="26"/>
        <v>381.98612378364828</v>
      </c>
      <c r="I35" s="13">
        <f t="shared" si="1"/>
        <v>0.66430217565918459</v>
      </c>
      <c r="J35" s="20">
        <f t="shared" si="15"/>
        <v>0.66430217565918459</v>
      </c>
      <c r="K35" s="10">
        <f>((F35-D35)*'Results '!K$30)/P$3</f>
        <v>1.4808262819185234</v>
      </c>
      <c r="L35" s="20">
        <f t="shared" si="16"/>
        <v>1.4808262819185234</v>
      </c>
      <c r="M35" s="10">
        <f>((F35-D35)*'Results '!K$31)/P$5</f>
        <v>0.49231841408679861</v>
      </c>
      <c r="N35" s="20">
        <f t="shared" si="17"/>
        <v>0.49231841408679861</v>
      </c>
      <c r="O35" s="10">
        <f t="shared" si="18"/>
        <v>2.6374468716645065</v>
      </c>
      <c r="P35" s="24">
        <f t="shared" si="19"/>
        <v>2.6374468716645065</v>
      </c>
      <c r="Q35" s="3">
        <f t="shared" si="20"/>
        <v>1.3187234358322533</v>
      </c>
      <c r="R35" s="11">
        <f>'Med Only'!I30</f>
        <v>0.23548276580444533</v>
      </c>
      <c r="S35" s="64">
        <f t="shared" si="21"/>
        <v>4.1916530733012047</v>
      </c>
      <c r="T35" s="8">
        <f>(J35*'Results '!B$37)+(Staffing!L35*'Results '!C$37)+(Staffing!N35*'Results '!D$37)</f>
        <v>8086.8274869518</v>
      </c>
      <c r="U35" s="8">
        <f>Q35*'Results '!E$37</f>
        <v>2060.4710267317541</v>
      </c>
      <c r="V35" s="9">
        <f>R35*'Results '!F$37</f>
        <v>441.52282704690361</v>
      </c>
    </row>
    <row r="36" spans="1:22" x14ac:dyDescent="0.2">
      <c r="A36" s="6">
        <f t="shared" si="22"/>
        <v>29</v>
      </c>
      <c r="B36" s="8">
        <f>'earned premium'!AF$2</f>
        <v>1075804.9358031913</v>
      </c>
      <c r="C36" s="9">
        <f t="shared" si="23"/>
        <v>5344286.9965209309</v>
      </c>
      <c r="D36" s="3">
        <f t="shared" si="0"/>
        <v>30.122538202489359</v>
      </c>
      <c r="E36" s="3">
        <f t="shared" si="24"/>
        <v>683.21121589152654</v>
      </c>
      <c r="F36" s="3">
        <f t="shared" si="25"/>
        <v>301.22509210787825</v>
      </c>
      <c r="G36" s="2">
        <f t="shared" si="2"/>
        <v>25.604132829169654</v>
      </c>
      <c r="H36" s="3">
        <f t="shared" si="26"/>
        <v>407.59025661281794</v>
      </c>
      <c r="I36" s="13">
        <f t="shared" si="1"/>
        <v>0.66646115773007708</v>
      </c>
      <c r="J36" s="20">
        <f t="shared" si="15"/>
        <v>0.66646115773007708</v>
      </c>
      <c r="K36" s="10">
        <f>((F36-D36)*'Results '!K$30)/P$3</f>
        <v>1.5077472805661249</v>
      </c>
      <c r="L36" s="20">
        <f t="shared" si="16"/>
        <v>1.5077472805661249</v>
      </c>
      <c r="M36" s="10">
        <f>((F36-D36)*'Results '!K$31)/P$5</f>
        <v>0.50126862217106416</v>
      </c>
      <c r="N36" s="20">
        <f t="shared" si="17"/>
        <v>0.50126862217106416</v>
      </c>
      <c r="O36" s="10">
        <f t="shared" si="18"/>
        <v>2.6754770604672662</v>
      </c>
      <c r="P36" s="24">
        <f t="shared" si="19"/>
        <v>2.6754770604672662</v>
      </c>
      <c r="Q36" s="3">
        <f t="shared" si="20"/>
        <v>1.3377385302336331</v>
      </c>
      <c r="R36" s="11">
        <f>'Med Only'!I31</f>
        <v>0.23627229598599322</v>
      </c>
      <c r="S36" s="64">
        <f t="shared" si="21"/>
        <v>4.249487886686893</v>
      </c>
      <c r="T36" s="8">
        <f>(J36*'Results '!B$37)+(Staffing!L36*'Results '!C$37)+(Staffing!N36*'Results '!D$37)</f>
        <v>8202.8509611789141</v>
      </c>
      <c r="U36" s="8">
        <f>Q36*'Results '!E$37</f>
        <v>2090.18161654916</v>
      </c>
      <c r="V36" s="9">
        <f>R36*'Results '!F$37</f>
        <v>443.00317146448771</v>
      </c>
    </row>
    <row r="37" spans="1:22" x14ac:dyDescent="0.2">
      <c r="A37" s="6">
        <f t="shared" si="22"/>
        <v>30</v>
      </c>
      <c r="B37" s="8">
        <f>'earned premium'!AG$2</f>
        <v>1079301.3018445515</v>
      </c>
      <c r="C37" s="9">
        <f t="shared" si="23"/>
        <v>6423588.2983654821</v>
      </c>
      <c r="D37" s="3">
        <f t="shared" si="0"/>
        <v>30.220436451647441</v>
      </c>
      <c r="E37" s="3">
        <f t="shared" si="24"/>
        <v>713.43165234317394</v>
      </c>
      <c r="F37" s="3">
        <f t="shared" si="25"/>
        <v>305.841395730356</v>
      </c>
      <c r="G37" s="2">
        <f t="shared" si="2"/>
        <v>25.996518637080261</v>
      </c>
      <c r="H37" s="3">
        <f t="shared" si="26"/>
        <v>433.58677524989821</v>
      </c>
      <c r="I37" s="13">
        <f t="shared" si="1"/>
        <v>0.66862715649269966</v>
      </c>
      <c r="J37" s="20">
        <f t="shared" si="15"/>
        <v>0.66862715649269966</v>
      </c>
      <c r="K37" s="10">
        <f>((F37-D37)*'Results '!K$30)/P$3</f>
        <v>1.5328765658346641</v>
      </c>
      <c r="L37" s="20">
        <f t="shared" si="16"/>
        <v>1.5328765658346641</v>
      </c>
      <c r="M37" s="10">
        <f>((F37-D37)*'Results '!K$31)/P$5</f>
        <v>0.50962315370633215</v>
      </c>
      <c r="N37" s="20">
        <f t="shared" si="17"/>
        <v>0.50962315370633215</v>
      </c>
      <c r="O37" s="10">
        <f t="shared" si="18"/>
        <v>2.711126876033696</v>
      </c>
      <c r="P37" s="24">
        <f t="shared" si="19"/>
        <v>2.711126876033696</v>
      </c>
      <c r="Q37" s="3">
        <f t="shared" si="20"/>
        <v>1.355563438016848</v>
      </c>
      <c r="R37" s="11">
        <f>'Med Only'!I32</f>
        <v>0.23705640244704565</v>
      </c>
      <c r="S37" s="64">
        <f t="shared" si="21"/>
        <v>4.3037467164975896</v>
      </c>
      <c r="T37" s="8">
        <f>(J37*'Results '!B$37)+(Staffing!L37*'Results '!C$37)+(Staffing!N37*'Results '!D$37)</f>
        <v>8311.6235024812268</v>
      </c>
      <c r="U37" s="8">
        <f>Q37*'Results '!E$37</f>
        <v>2118.0325707701263</v>
      </c>
      <c r="V37" s="9">
        <f>R37*'Results '!F$37</f>
        <v>444.47334657563414</v>
      </c>
    </row>
    <row r="38" spans="1:22" x14ac:dyDescent="0.2">
      <c r="A38" s="6">
        <f t="shared" si="22"/>
        <v>31</v>
      </c>
      <c r="B38" s="8">
        <f>'earned premium'!AH$2</f>
        <v>1082809.0310755463</v>
      </c>
      <c r="C38" s="9">
        <f t="shared" si="23"/>
        <v>7506397.3294410286</v>
      </c>
      <c r="D38" s="3">
        <f t="shared" si="0"/>
        <v>30.318652870115294</v>
      </c>
      <c r="E38" s="3">
        <f t="shared" si="24"/>
        <v>743.75030521328927</v>
      </c>
      <c r="F38" s="3">
        <f t="shared" si="25"/>
        <v>310.16352996339106</v>
      </c>
      <c r="G38" s="2">
        <f t="shared" si="2"/>
        <v>26.36390004688824</v>
      </c>
      <c r="H38" s="3">
        <f t="shared" si="26"/>
        <v>459.95067529678647</v>
      </c>
      <c r="I38" s="13">
        <f t="shared" si="1"/>
        <v>0.67080019475130093</v>
      </c>
      <c r="J38" s="20">
        <f t="shared" si="15"/>
        <v>0.67080019475130093</v>
      </c>
      <c r="K38" s="10">
        <f>((F38-D38)*'Results '!K$30)/P$3</f>
        <v>1.5563680472187573</v>
      </c>
      <c r="L38" s="20">
        <f t="shared" si="16"/>
        <v>1.5563680472187573</v>
      </c>
      <c r="M38" s="10">
        <f>((F38-D38)*'Results '!K$31)/P$5</f>
        <v>0.51743317774546693</v>
      </c>
      <c r="N38" s="20">
        <f t="shared" si="17"/>
        <v>0.51743317774546693</v>
      </c>
      <c r="O38" s="10">
        <f t="shared" si="18"/>
        <v>2.7446014197155248</v>
      </c>
      <c r="P38" s="24">
        <f t="shared" si="19"/>
        <v>2.7446014197155248</v>
      </c>
      <c r="Q38" s="3">
        <f t="shared" si="20"/>
        <v>1.3723007098577624</v>
      </c>
      <c r="R38" s="11">
        <f>'Med Only'!I33</f>
        <v>0.23783770415939412</v>
      </c>
      <c r="S38" s="64">
        <f t="shared" si="21"/>
        <v>4.3547398337326806</v>
      </c>
      <c r="T38" s="8">
        <f>(J38*'Results '!B$37)+(Staffing!L38*'Results '!C$37)+(Staffing!N38*'Results '!D$37)</f>
        <v>8413.7699261101061</v>
      </c>
      <c r="U38" s="8">
        <f>Q38*'Results '!E$37</f>
        <v>2144.1841221551012</v>
      </c>
      <c r="V38" s="9">
        <f>R38*'Results '!F$37</f>
        <v>445.93826287060898</v>
      </c>
    </row>
    <row r="39" spans="1:22" x14ac:dyDescent="0.2">
      <c r="A39" s="6">
        <f t="shared" si="22"/>
        <v>32</v>
      </c>
      <c r="B39" s="8">
        <f>'earned premium'!AI$2</f>
        <v>1086328.1604265417</v>
      </c>
      <c r="C39" s="9">
        <f t="shared" si="23"/>
        <v>8592725.4898675699</v>
      </c>
      <c r="D39" s="3">
        <f t="shared" si="0"/>
        <v>30.417188491943172</v>
      </c>
      <c r="E39" s="3">
        <f t="shared" si="24"/>
        <v>774.16749370523246</v>
      </c>
      <c r="F39" s="3">
        <f t="shared" si="25"/>
        <v>314.21681840844599</v>
      </c>
      <c r="G39" s="2">
        <f t="shared" si="2"/>
        <v>26.70842956471791</v>
      </c>
      <c r="H39" s="3">
        <f t="shared" si="26"/>
        <v>486.65910486150437</v>
      </c>
      <c r="I39" s="13">
        <f t="shared" si="1"/>
        <v>0.67298029538424275</v>
      </c>
      <c r="J39" s="20">
        <f t="shared" si="15"/>
        <v>0.67298029538424275</v>
      </c>
      <c r="K39" s="10">
        <f>((F39-D39)*'Results '!K$30)/P$3</f>
        <v>1.578362557151012</v>
      </c>
      <c r="L39" s="20">
        <f t="shared" si="16"/>
        <v>1.578362557151012</v>
      </c>
      <c r="M39" s="10">
        <f>((F39-D39)*'Results '!K$31)/P$5</f>
        <v>0.52474551571561368</v>
      </c>
      <c r="N39" s="20">
        <f t="shared" si="17"/>
        <v>0.52474551571561368</v>
      </c>
      <c r="O39" s="10">
        <f t="shared" si="18"/>
        <v>2.7760883682508686</v>
      </c>
      <c r="P39" s="24">
        <f t="shared" si="19"/>
        <v>2.7760883682508686</v>
      </c>
      <c r="Q39" s="3">
        <f t="shared" si="20"/>
        <v>1.3880441841254343</v>
      </c>
      <c r="R39" s="11">
        <f>'Med Only'!I34</f>
        <v>0.2386179585288572</v>
      </c>
      <c r="S39" s="64">
        <f t="shared" si="21"/>
        <v>4.4027505109051601</v>
      </c>
      <c r="T39" s="8">
        <f>(J39*'Results '!B$37)+(Staffing!L39*'Results '!C$37)+(Staffing!N39*'Results '!D$37)</f>
        <v>8509.8619655998809</v>
      </c>
      <c r="U39" s="8">
        <f>Q39*'Results '!E$37</f>
        <v>2168.7828907120293</v>
      </c>
      <c r="V39" s="9">
        <f>R39*'Results '!F$37</f>
        <v>447.40121543040323</v>
      </c>
    </row>
    <row r="40" spans="1:22" x14ac:dyDescent="0.2">
      <c r="A40" s="6">
        <f t="shared" si="22"/>
        <v>33</v>
      </c>
      <c r="B40" s="8">
        <f>'earned premium'!AJ$2</f>
        <v>1089858.7269479281</v>
      </c>
      <c r="C40" s="9">
        <f t="shared" si="23"/>
        <v>9682584.2168154977</v>
      </c>
      <c r="D40" s="3">
        <f t="shared" ref="D40:D67" si="27">(B40/1000000)*E$2</f>
        <v>30.516044354541986</v>
      </c>
      <c r="E40" s="3">
        <f t="shared" si="24"/>
        <v>804.68353805977449</v>
      </c>
      <c r="F40" s="3">
        <f t="shared" si="25"/>
        <v>318.02443319827012</v>
      </c>
      <c r="G40" s="2">
        <f t="shared" si="2"/>
        <v>27.032076821852961</v>
      </c>
      <c r="H40" s="3">
        <f t="shared" si="26"/>
        <v>513.69118168335729</v>
      </c>
      <c r="I40" s="13">
        <f t="shared" ref="I40:I67" si="28">D40/P$2</f>
        <v>0.67516748134424154</v>
      </c>
      <c r="J40" s="20">
        <f t="shared" si="15"/>
        <v>0.67516748134424154</v>
      </c>
      <c r="K40" s="10">
        <f>((F40-D40)*'Results '!K$30)/P$3</f>
        <v>1.5989889625693499</v>
      </c>
      <c r="L40" s="20">
        <f t="shared" si="16"/>
        <v>1.5989889625693499</v>
      </c>
      <c r="M40" s="10">
        <f>((F40-D40)*'Results '!K$31)/P$5</f>
        <v>0.53160301097205331</v>
      </c>
      <c r="N40" s="20">
        <f t="shared" si="17"/>
        <v>0.53160301097205331</v>
      </c>
      <c r="O40" s="10">
        <f t="shared" si="18"/>
        <v>2.8057594548856448</v>
      </c>
      <c r="P40" s="24">
        <f t="shared" si="19"/>
        <v>2.8057594548856448</v>
      </c>
      <c r="Q40" s="3">
        <f t="shared" si="20"/>
        <v>1.4028797274428224</v>
      </c>
      <c r="R40" s="11">
        <f>'Med Only'!I35</f>
        <v>0.23939834572080917</v>
      </c>
      <c r="S40" s="64">
        <f t="shared" si="21"/>
        <v>4.4480375280492757</v>
      </c>
      <c r="T40" s="8">
        <f>(J40*'Results '!B$37)+(Staffing!L40*'Results '!C$37)+(Staffing!N40*'Results '!D$37)</f>
        <v>8600.422784803457</v>
      </c>
      <c r="U40" s="8">
        <f>Q40*'Results '!E$37</f>
        <v>2191.9630408031744</v>
      </c>
      <c r="V40" s="9">
        <f>R40*'Results '!F$37</f>
        <v>448.86441702821344</v>
      </c>
    </row>
    <row r="41" spans="1:22" x14ac:dyDescent="0.2">
      <c r="A41" s="6">
        <f t="shared" si="22"/>
        <v>34</v>
      </c>
      <c r="B41" s="8">
        <f>'earned premium'!AK$2</f>
        <v>1093400.7678105088</v>
      </c>
      <c r="C41" s="9">
        <f t="shared" si="23"/>
        <v>10775984.984626006</v>
      </c>
      <c r="D41" s="3">
        <f t="shared" si="27"/>
        <v>30.615221498694247</v>
      </c>
      <c r="E41" s="3">
        <f t="shared" si="24"/>
        <v>835.29875955846876</v>
      </c>
      <c r="F41" s="3">
        <f t="shared" si="25"/>
        <v>321.60757787511147</v>
      </c>
      <c r="G41" s="2">
        <f t="shared" ref="G41:G67" si="29">(E41-H40)*I$3</f>
        <v>27.336644119384477</v>
      </c>
      <c r="H41" s="3">
        <f t="shared" si="26"/>
        <v>541.02782580274175</v>
      </c>
      <c r="I41" s="13">
        <f t="shared" si="28"/>
        <v>0.67736177565861022</v>
      </c>
      <c r="J41" s="20">
        <f t="shared" ref="J41:J56" si="30">(I41*1)*Q$3</f>
        <v>0.67736177565861022</v>
      </c>
      <c r="K41" s="10">
        <f>((F41-D41)*'Results '!K$30)/P$3</f>
        <v>1.6183651820011515</v>
      </c>
      <c r="L41" s="20">
        <f t="shared" ref="L41:L56" si="31">(K41*1)*Q$3</f>
        <v>1.6183651820011515</v>
      </c>
      <c r="M41" s="10">
        <f>((F41-D41)*'Results '!K$31)/P$5</f>
        <v>0.53804486693999543</v>
      </c>
      <c r="N41" s="20">
        <f t="shared" ref="N41:N56" si="32">(M41*1)*Q$3</f>
        <v>0.53804486693999543</v>
      </c>
      <c r="O41" s="10">
        <f t="shared" ref="O41:O56" si="33">I41+K41+M41</f>
        <v>2.8337718245997574</v>
      </c>
      <c r="P41" s="24">
        <f t="shared" ref="P41:P56" si="34">IF(O41&lt;1,1,O41)*Q$3</f>
        <v>2.8337718245997574</v>
      </c>
      <c r="Q41" s="3">
        <f t="shared" ref="Q41:Q56" si="35">P41*Q$5</f>
        <v>1.4168859122998787</v>
      </c>
      <c r="R41" s="11">
        <f>'Med Only'!I36</f>
        <v>0.24017965915831305</v>
      </c>
      <c r="S41" s="64">
        <f t="shared" ref="S41:S56" si="36">SUM(P41:R41)</f>
        <v>4.4908373960579491</v>
      </c>
      <c r="T41" s="8">
        <f>(J41*'Results '!B$37)+(Staffing!L41*'Results '!C$37)+(Staffing!N41*'Results '!D$37)</f>
        <v>8685.9311064051399</v>
      </c>
      <c r="U41" s="8">
        <f>Q41*'Results '!E$37</f>
        <v>2213.8473398979277</v>
      </c>
      <c r="V41" s="9">
        <f>R41*'Results '!F$37</f>
        <v>450.32935530748824</v>
      </c>
    </row>
    <row r="42" spans="1:22" x14ac:dyDescent="0.2">
      <c r="A42" s="6">
        <f t="shared" ref="A42:A57" si="37">A41+1</f>
        <v>35</v>
      </c>
      <c r="B42" s="8">
        <f>'earned premium'!AL$2</f>
        <v>1096954.3203058927</v>
      </c>
      <c r="C42" s="9">
        <f t="shared" ref="C42:C57" si="38">B42+C41</f>
        <v>11872939.3049319</v>
      </c>
      <c r="D42" s="3">
        <f t="shared" si="27"/>
        <v>30.714720968564997</v>
      </c>
      <c r="E42" s="3">
        <f t="shared" ref="E42:E57" si="39">D42+E41</f>
        <v>866.01348052703372</v>
      </c>
      <c r="F42" s="3">
        <f t="shared" ref="F42:F57" si="40">E42-H41</f>
        <v>324.98565472429198</v>
      </c>
      <c r="G42" s="2">
        <f t="shared" si="29"/>
        <v>27.623780651564822</v>
      </c>
      <c r="H42" s="3">
        <f t="shared" ref="H42:H57" si="41">G42+H41</f>
        <v>568.6516064543066</v>
      </c>
      <c r="I42" s="13">
        <f t="shared" si="28"/>
        <v>0.67956320142950066</v>
      </c>
      <c r="J42" s="20">
        <f t="shared" si="30"/>
        <v>0.67956320142950066</v>
      </c>
      <c r="K42" s="10">
        <f>((F42-D42)*'Results '!K$30)/P$3</f>
        <v>1.6365991161953126</v>
      </c>
      <c r="L42" s="20">
        <f t="shared" si="31"/>
        <v>1.6365991161953126</v>
      </c>
      <c r="M42" s="10">
        <f>((F42-D42)*'Results '!K$31)/P$5</f>
        <v>0.54410695651433916</v>
      </c>
      <c r="N42" s="20">
        <f t="shared" si="32"/>
        <v>0.54410695651433916</v>
      </c>
      <c r="O42" s="10">
        <f t="shared" si="33"/>
        <v>2.8602692741391524</v>
      </c>
      <c r="P42" s="24">
        <f t="shared" si="34"/>
        <v>2.8602692741391524</v>
      </c>
      <c r="Q42" s="3">
        <f t="shared" si="35"/>
        <v>1.4301346370695762</v>
      </c>
      <c r="R42" s="11">
        <f>'Med Only'!I37</f>
        <v>0.24096243315589808</v>
      </c>
      <c r="S42" s="64">
        <f t="shared" si="36"/>
        <v>4.5313663443646268</v>
      </c>
      <c r="T42" s="8">
        <f>(J42*'Results '!B$37)+(Staffing!L42*'Results '!C$37)+(Staffing!N42*'Results '!D$37)</f>
        <v>8766.8249895101835</v>
      </c>
      <c r="U42" s="8">
        <f>Q42*'Results '!E$37</f>
        <v>2234.5481273317059</v>
      </c>
      <c r="V42" s="9">
        <f>R42*'Results '!F$37</f>
        <v>451.7970320912728</v>
      </c>
    </row>
    <row r="43" spans="1:22" s="19" customFormat="1" x14ac:dyDescent="0.2">
      <c r="A43" s="15">
        <f t="shared" si="37"/>
        <v>36</v>
      </c>
      <c r="B43" s="8">
        <f>'earned premium'!AM$2</f>
        <v>1100519.4218468869</v>
      </c>
      <c r="C43" s="17">
        <f t="shared" si="38"/>
        <v>12973458.726778787</v>
      </c>
      <c r="D43" s="5">
        <f t="shared" si="27"/>
        <v>30.814543811712831</v>
      </c>
      <c r="E43" s="5">
        <f t="shared" si="39"/>
        <v>896.82802433874656</v>
      </c>
      <c r="F43" s="5">
        <f t="shared" si="40"/>
        <v>328.17641788443996</v>
      </c>
      <c r="G43" s="18">
        <f t="shared" si="29"/>
        <v>27.8949955201774</v>
      </c>
      <c r="H43" s="5">
        <f t="shared" si="41"/>
        <v>596.54660197448402</v>
      </c>
      <c r="I43" s="13">
        <f t="shared" si="28"/>
        <v>0.68177178183414644</v>
      </c>
      <c r="J43" s="20">
        <f t="shared" si="30"/>
        <v>0.68177178183414644</v>
      </c>
      <c r="K43" s="10">
        <f>((F43-D43)*'Results '!K$30)/P$3</f>
        <v>1.6537894996506288</v>
      </c>
      <c r="L43" s="20">
        <f t="shared" si="31"/>
        <v>1.6537894996506288</v>
      </c>
      <c r="M43" s="10">
        <f>((F43-D43)*'Results '!K$31)/P$5</f>
        <v>0.54982210516047247</v>
      </c>
      <c r="N43" s="20">
        <f t="shared" si="32"/>
        <v>0.54982210516047247</v>
      </c>
      <c r="O43" s="13">
        <f t="shared" si="33"/>
        <v>2.8853833866452478</v>
      </c>
      <c r="P43" s="24">
        <f t="shared" si="34"/>
        <v>2.8853833866452478</v>
      </c>
      <c r="Q43" s="3">
        <f t="shared" si="35"/>
        <v>1.4426916933226239</v>
      </c>
      <c r="R43" s="33">
        <f>'Med Only'!I38</f>
        <v>0.24174702843421952</v>
      </c>
      <c r="S43" s="64">
        <f t="shared" si="36"/>
        <v>4.5698221084020911</v>
      </c>
      <c r="T43" s="8">
        <f>(J43*'Results '!B$37)+(Staffing!L43*'Results '!C$37)+(Staffing!N43*'Results '!D$37)</f>
        <v>8843.5052861395343</v>
      </c>
      <c r="U43" s="8">
        <f>Q43*'Results '!E$37</f>
        <v>2254.1682007204195</v>
      </c>
      <c r="V43" s="9">
        <f>R43*'Results '!F$37</f>
        <v>453.26812371952303</v>
      </c>
    </row>
    <row r="44" spans="1:22" x14ac:dyDescent="0.2">
      <c r="A44" s="6">
        <f t="shared" si="37"/>
        <v>37</v>
      </c>
      <c r="B44" s="8">
        <f>'earned premium'!AN$2</f>
        <v>1104096.1099678893</v>
      </c>
      <c r="C44" s="9">
        <f>B44</f>
        <v>1104096.1099678893</v>
      </c>
      <c r="D44" s="3">
        <f t="shared" si="27"/>
        <v>30.914691079100898</v>
      </c>
      <c r="E44" s="3">
        <f t="shared" si="39"/>
        <v>927.74271541784742</v>
      </c>
      <c r="F44" s="3">
        <f t="shared" si="40"/>
        <v>331.1961134433634</v>
      </c>
      <c r="G44" s="2">
        <f t="shared" si="29"/>
        <v>28.151669642685892</v>
      </c>
      <c r="H44" s="3">
        <f t="shared" si="41"/>
        <v>624.69827161716989</v>
      </c>
      <c r="I44" s="13">
        <f t="shared" si="28"/>
        <v>0.68398754012510743</v>
      </c>
      <c r="J44" s="20">
        <f t="shared" si="30"/>
        <v>0.68398754012510743</v>
      </c>
      <c r="K44" s="10">
        <f>((F44-D44)*'Results '!K$30)/P$3</f>
        <v>1.6700266797643217</v>
      </c>
      <c r="L44" s="20">
        <f t="shared" si="31"/>
        <v>1.6700266797643217</v>
      </c>
      <c r="M44" s="10">
        <f>((F44-D44)*'Results '!K$31)/P$5</f>
        <v>0.55522034995152136</v>
      </c>
      <c r="N44" s="20">
        <f t="shared" si="32"/>
        <v>0.55522034995152136</v>
      </c>
      <c r="O44" s="10">
        <f t="shared" si="33"/>
        <v>2.9092345698409505</v>
      </c>
      <c r="P44" s="24">
        <f t="shared" si="34"/>
        <v>2.9092345698409505</v>
      </c>
      <c r="Q44" s="3">
        <f t="shared" si="35"/>
        <v>1.4546172849204753</v>
      </c>
      <c r="R44" s="11">
        <f>'Med Only'!I39</f>
        <v>0.2425336894149091</v>
      </c>
      <c r="S44" s="64">
        <f t="shared" si="36"/>
        <v>4.6063855441763346</v>
      </c>
      <c r="T44" s="8">
        <f>(J44*'Results '!B$37)+(Staffing!L44*'Results '!C$37)+(Staffing!N44*'Results '!D$37)</f>
        <v>8916.3388039227866</v>
      </c>
      <c r="U44" s="8">
        <f>Q44*'Results '!E$37</f>
        <v>2272.8016270297812</v>
      </c>
      <c r="V44" s="9">
        <f>R44*'Results '!F$37</f>
        <v>454.74308847516033</v>
      </c>
    </row>
    <row r="45" spans="1:22" x14ac:dyDescent="0.2">
      <c r="A45" s="6">
        <f t="shared" si="37"/>
        <v>38</v>
      </c>
      <c r="B45" s="8">
        <f>'earned premium'!AO$2</f>
        <v>1107684.4223252849</v>
      </c>
      <c r="C45" s="9">
        <f t="shared" si="38"/>
        <v>2211780.5322931744</v>
      </c>
      <c r="D45" s="3">
        <f t="shared" si="27"/>
        <v>31.015163825107976</v>
      </c>
      <c r="E45" s="3">
        <f t="shared" si="39"/>
        <v>958.75787924295537</v>
      </c>
      <c r="F45" s="3">
        <f t="shared" si="40"/>
        <v>334.05960762578547</v>
      </c>
      <c r="G45" s="2">
        <f t="shared" si="29"/>
        <v>28.395066648191769</v>
      </c>
      <c r="H45" s="3">
        <f t="shared" si="41"/>
        <v>653.09333826536169</v>
      </c>
      <c r="I45" s="13">
        <f t="shared" si="28"/>
        <v>0.68621049963051406</v>
      </c>
      <c r="J45" s="20">
        <f t="shared" si="30"/>
        <v>0.68621049963051406</v>
      </c>
      <c r="K45" s="10">
        <f>((F45-D45)*'Results '!K$30)/P$3</f>
        <v>1.6853933297529993</v>
      </c>
      <c r="L45" s="20">
        <f t="shared" si="31"/>
        <v>1.6853933297529993</v>
      </c>
      <c r="M45" s="10">
        <f>((F45-D45)*'Results '!K$31)/P$5</f>
        <v>0.56032917658745274</v>
      </c>
      <c r="N45" s="20">
        <f t="shared" si="32"/>
        <v>0.56032917658745274</v>
      </c>
      <c r="O45" s="10">
        <f t="shared" si="33"/>
        <v>2.9319330059709658</v>
      </c>
      <c r="P45" s="24">
        <f t="shared" si="34"/>
        <v>2.9319330059709658</v>
      </c>
      <c r="Q45" s="3">
        <f t="shared" si="35"/>
        <v>1.4659665029854829</v>
      </c>
      <c r="R45" s="11">
        <f>'Med Only'!I40</f>
        <v>0.24332258260815406</v>
      </c>
      <c r="S45" s="64">
        <f t="shared" si="36"/>
        <v>4.641222091564603</v>
      </c>
      <c r="T45" s="8">
        <f>(J45*'Results '!B$37)+(Staffing!L45*'Results '!C$37)+(Staffing!N45*'Results '!D$37)</f>
        <v>8985.6611999625566</v>
      </c>
      <c r="U45" s="8">
        <f>Q45*'Results '!E$37</f>
        <v>2290.5344847038018</v>
      </c>
      <c r="V45" s="9">
        <f>R45*'Results '!F$37</f>
        <v>456.22223855958237</v>
      </c>
    </row>
    <row r="46" spans="1:22" x14ac:dyDescent="0.2">
      <c r="A46" s="6">
        <f t="shared" si="37"/>
        <v>39</v>
      </c>
      <c r="B46" s="8">
        <f>'earned premium'!AP$2</f>
        <v>1111284.3966978421</v>
      </c>
      <c r="C46" s="9">
        <f t="shared" si="38"/>
        <v>3323064.9289910165</v>
      </c>
      <c r="D46" s="3">
        <f t="shared" si="27"/>
        <v>31.115963107539578</v>
      </c>
      <c r="E46" s="3">
        <f t="shared" si="39"/>
        <v>989.8738423504949</v>
      </c>
      <c r="F46" s="3">
        <f t="shared" si="40"/>
        <v>336.7805040851332</v>
      </c>
      <c r="G46" s="2">
        <f t="shared" si="29"/>
        <v>28.626342847236323</v>
      </c>
      <c r="H46" s="3">
        <f t="shared" si="41"/>
        <v>681.71968111259798</v>
      </c>
      <c r="I46" s="13">
        <f t="shared" si="28"/>
        <v>0.68844068375431322</v>
      </c>
      <c r="J46" s="20">
        <f t="shared" si="30"/>
        <v>0.68844068375431322</v>
      </c>
      <c r="K46" s="10">
        <f>((F46-D46)*'Results '!K$30)/P$3</f>
        <v>1.6999651009753864</v>
      </c>
      <c r="L46" s="20">
        <f t="shared" si="31"/>
        <v>1.6999651009753864</v>
      </c>
      <c r="M46" s="10">
        <f>((F46-D46)*'Results '!K$31)/P$5</f>
        <v>0.56517373626757061</v>
      </c>
      <c r="N46" s="20">
        <f t="shared" si="32"/>
        <v>0.56517373626757061</v>
      </c>
      <c r="O46" s="10">
        <f t="shared" si="33"/>
        <v>2.9535795209972702</v>
      </c>
      <c r="P46" s="24">
        <f t="shared" si="34"/>
        <v>2.9535795209972702</v>
      </c>
      <c r="Q46" s="3">
        <f t="shared" si="35"/>
        <v>1.4767897604986351</v>
      </c>
      <c r="R46" s="11">
        <f>'Med Only'!I41</f>
        <v>0.2441138223324037</v>
      </c>
      <c r="S46" s="64">
        <f t="shared" si="36"/>
        <v>4.674483103828309</v>
      </c>
      <c r="T46" s="8">
        <f>(J46*'Results '!B$37)+(Staffing!L46*'Results '!C$37)+(Staffing!N46*'Results '!D$37)</f>
        <v>9051.7796287206565</v>
      </c>
      <c r="U46" s="8">
        <f>Q46*'Results '!E$37</f>
        <v>2307.4455427124376</v>
      </c>
      <c r="V46" s="9">
        <f>R46*'Results '!F$37</f>
        <v>457.70578831630905</v>
      </c>
    </row>
    <row r="47" spans="1:22" x14ac:dyDescent="0.2">
      <c r="A47" s="6">
        <f t="shared" si="37"/>
        <v>40</v>
      </c>
      <c r="B47" s="8">
        <f>'earned premium'!AQ$2</f>
        <v>1114896.07098711</v>
      </c>
      <c r="C47" s="9">
        <f t="shared" si="38"/>
        <v>4437960.999978127</v>
      </c>
      <c r="D47" s="3">
        <f t="shared" si="27"/>
        <v>31.217089987639081</v>
      </c>
      <c r="E47" s="3">
        <f t="shared" si="39"/>
        <v>1021.0909323381339</v>
      </c>
      <c r="F47" s="3">
        <f t="shared" si="40"/>
        <v>339.37125122553596</v>
      </c>
      <c r="G47" s="2">
        <f t="shared" si="29"/>
        <v>28.846556354170559</v>
      </c>
      <c r="H47" s="3">
        <f t="shared" si="41"/>
        <v>710.5662374667686</v>
      </c>
      <c r="I47" s="13">
        <f t="shared" si="28"/>
        <v>0.69067811597651474</v>
      </c>
      <c r="J47" s="20">
        <f t="shared" si="30"/>
        <v>0.69067811597651474</v>
      </c>
      <c r="K47" s="10">
        <f>((F47-D47)*'Results '!K$30)/P$3</f>
        <v>1.7138112198076885</v>
      </c>
      <c r="L47" s="20">
        <f t="shared" si="31"/>
        <v>1.7138112198076885</v>
      </c>
      <c r="M47" s="10">
        <f>((F47-D47)*'Results '!K$31)/P$5</f>
        <v>0.56977704412887131</v>
      </c>
      <c r="N47" s="20">
        <f t="shared" si="32"/>
        <v>0.56977704412887131</v>
      </c>
      <c r="O47" s="10">
        <f t="shared" si="33"/>
        <v>2.9742663799130744</v>
      </c>
      <c r="P47" s="24">
        <f t="shared" si="34"/>
        <v>2.9742663799130744</v>
      </c>
      <c r="Q47" s="3">
        <f t="shared" si="35"/>
        <v>1.4871331899565372</v>
      </c>
      <c r="R47" s="11">
        <f>'Med Only'!I42</f>
        <v>0.24490748794660203</v>
      </c>
      <c r="S47" s="64">
        <f t="shared" si="36"/>
        <v>4.7063070578162129</v>
      </c>
      <c r="T47" s="8">
        <f>(J47*'Results '!B$37)+(Staffing!L47*'Results '!C$37)+(Staffing!N47*'Results '!D$37)</f>
        <v>9114.9751648342717</v>
      </c>
      <c r="U47" s="8">
        <f>Q47*'Results '!E$37</f>
        <v>2323.6068818802673</v>
      </c>
      <c r="V47" s="9">
        <f>R47*'Results '!F$37</f>
        <v>459.19388654088044</v>
      </c>
    </row>
    <row r="48" spans="1:22" x14ac:dyDescent="0.2">
      <c r="A48" s="6">
        <f t="shared" si="37"/>
        <v>41</v>
      </c>
      <c r="B48" s="8">
        <f>'earned premium'!AR$2</f>
        <v>1118519.4832178182</v>
      </c>
      <c r="C48" s="9">
        <f t="shared" si="38"/>
        <v>5556480.4831959456</v>
      </c>
      <c r="D48" s="3">
        <f t="shared" si="27"/>
        <v>31.318545530098909</v>
      </c>
      <c r="E48" s="3">
        <f t="shared" si="39"/>
        <v>1052.4094778682329</v>
      </c>
      <c r="F48" s="3">
        <f t="shared" si="40"/>
        <v>341.8432404014643</v>
      </c>
      <c r="G48" s="2">
        <f t="shared" si="29"/>
        <v>29.056675434124468</v>
      </c>
      <c r="H48" s="3">
        <f t="shared" si="41"/>
        <v>739.62291290089308</v>
      </c>
      <c r="I48" s="13">
        <f t="shared" si="28"/>
        <v>0.6929228198534384</v>
      </c>
      <c r="J48" s="20">
        <f t="shared" si="30"/>
        <v>0.6929228198534384</v>
      </c>
      <c r="K48" s="10">
        <f>((F48-D48)*'Results '!K$30)/P$3</f>
        <v>1.7269950337845941</v>
      </c>
      <c r="L48" s="20">
        <f t="shared" si="31"/>
        <v>1.7269950337845941</v>
      </c>
      <c r="M48" s="10">
        <f>((F48-D48)*'Results '!K$31)/P$5</f>
        <v>0.5741601608171546</v>
      </c>
      <c r="N48" s="20">
        <f t="shared" si="32"/>
        <v>0.5741601608171546</v>
      </c>
      <c r="O48" s="10">
        <f t="shared" si="33"/>
        <v>2.9940780144551873</v>
      </c>
      <c r="P48" s="24">
        <f t="shared" si="34"/>
        <v>2.9940780144551873</v>
      </c>
      <c r="Q48" s="3">
        <f t="shared" si="35"/>
        <v>1.4970390072275936</v>
      </c>
      <c r="R48" s="11">
        <f>'Med Only'!I43</f>
        <v>0.24570363539581255</v>
      </c>
      <c r="S48" s="64">
        <f t="shared" si="36"/>
        <v>4.7368206570785931</v>
      </c>
      <c r="T48" s="8">
        <f>(J48*'Results '!B$37)+(Staffing!L48*'Results '!C$37)+(Staffing!N48*'Results '!D$37)</f>
        <v>9175.5050199930356</v>
      </c>
      <c r="U48" s="8">
        <f>Q48*'Results '!E$37</f>
        <v>2339.0844634023019</v>
      </c>
      <c r="V48" s="9">
        <f>R48*'Results '!F$37</f>
        <v>460.68663812854243</v>
      </c>
    </row>
    <row r="49" spans="1:22" x14ac:dyDescent="0.2">
      <c r="A49" s="6">
        <f t="shared" si="37"/>
        <v>42</v>
      </c>
      <c r="B49" s="8">
        <f>'earned premium'!AS$2</f>
        <v>1122154.6715382759</v>
      </c>
      <c r="C49" s="9">
        <f t="shared" si="38"/>
        <v>6678635.1547342213</v>
      </c>
      <c r="D49" s="3">
        <f t="shared" si="27"/>
        <v>31.420330803071728</v>
      </c>
      <c r="E49" s="3">
        <f t="shared" si="39"/>
        <v>1083.8298086713046</v>
      </c>
      <c r="F49" s="3">
        <f t="shared" si="40"/>
        <v>344.20689577041151</v>
      </c>
      <c r="G49" s="2">
        <f t="shared" si="29"/>
        <v>29.257586140484982</v>
      </c>
      <c r="H49" s="3">
        <f t="shared" si="41"/>
        <v>768.88049904137802</v>
      </c>
      <c r="I49" s="13">
        <f t="shared" si="28"/>
        <v>0.69517481901796208</v>
      </c>
      <c r="J49" s="20">
        <f t="shared" si="30"/>
        <v>0.69517481901796208</v>
      </c>
      <c r="K49" s="10">
        <f>((F49-D49)*'Results '!K$30)/P$3</f>
        <v>1.7395745113183592</v>
      </c>
      <c r="L49" s="20">
        <f t="shared" si="31"/>
        <v>1.7395745113183592</v>
      </c>
      <c r="M49" s="10">
        <f>((F49-D49)*'Results '!K$31)/P$5</f>
        <v>0.57834235862461125</v>
      </c>
      <c r="N49" s="20">
        <f t="shared" si="32"/>
        <v>0.57834235862461125</v>
      </c>
      <c r="O49" s="10">
        <f t="shared" si="33"/>
        <v>3.013091688960932</v>
      </c>
      <c r="P49" s="24">
        <f t="shared" si="34"/>
        <v>3.013091688960932</v>
      </c>
      <c r="Q49" s="3">
        <f t="shared" si="35"/>
        <v>1.506545844480466</v>
      </c>
      <c r="R49" s="11">
        <f>'Med Only'!I44</f>
        <v>0.24650230494681627</v>
      </c>
      <c r="S49" s="64">
        <f t="shared" si="36"/>
        <v>4.7661398383882148</v>
      </c>
      <c r="T49" s="8">
        <f>(J49*'Results '!B$37)+(Staffing!L49*'Results '!C$37)+(Staffing!N49*'Results '!D$37)</f>
        <v>9233.604571381853</v>
      </c>
      <c r="U49" s="8">
        <f>Q49*'Results '!E$37</f>
        <v>2353.938649036028</v>
      </c>
      <c r="V49" s="9">
        <f>R49*'Results '!F$37</f>
        <v>462.18411857825095</v>
      </c>
    </row>
    <row r="50" spans="1:22" x14ac:dyDescent="0.2">
      <c r="A50" s="6">
        <f t="shared" si="37"/>
        <v>43</v>
      </c>
      <c r="B50" s="8">
        <f>'earned premium'!AT$2</f>
        <v>1125801.6742207753</v>
      </c>
      <c r="C50" s="9">
        <f t="shared" si="38"/>
        <v>7804436.8289549965</v>
      </c>
      <c r="D50" s="3">
        <f t="shared" si="27"/>
        <v>31.522446878181707</v>
      </c>
      <c r="E50" s="3">
        <f t="shared" si="39"/>
        <v>1115.3522555494862</v>
      </c>
      <c r="F50" s="3">
        <f t="shared" si="40"/>
        <v>346.47175650810823</v>
      </c>
      <c r="G50" s="2">
        <f t="shared" si="29"/>
        <v>29.450099303189202</v>
      </c>
      <c r="H50" s="3">
        <f t="shared" si="41"/>
        <v>798.33059834456719</v>
      </c>
      <c r="I50" s="13">
        <f t="shared" si="28"/>
        <v>0.69743413717977032</v>
      </c>
      <c r="J50" s="20">
        <f t="shared" si="30"/>
        <v>0.69743413717977032</v>
      </c>
      <c r="K50" s="10">
        <f>((F50-D50)*'Results '!K$30)/P$3</f>
        <v>1.7516026989418225</v>
      </c>
      <c r="L50" s="20">
        <f t="shared" si="31"/>
        <v>1.7516026989418225</v>
      </c>
      <c r="M50" s="10">
        <f>((F50-D50)*'Results '!K$31)/P$5</f>
        <v>0.58234127350573417</v>
      </c>
      <c r="N50" s="20">
        <f t="shared" si="32"/>
        <v>0.58234127350573417</v>
      </c>
      <c r="O50" s="10">
        <f t="shared" si="33"/>
        <v>3.0313781096273269</v>
      </c>
      <c r="P50" s="24">
        <f t="shared" si="34"/>
        <v>3.0313781096273269</v>
      </c>
      <c r="Q50" s="3">
        <f t="shared" si="35"/>
        <v>1.5156890548136635</v>
      </c>
      <c r="R50" s="11">
        <f>'Med Only'!I45</f>
        <v>0.24730352637099154</v>
      </c>
      <c r="S50" s="64">
        <f t="shared" si="36"/>
        <v>4.7943706908119825</v>
      </c>
      <c r="T50" s="8">
        <f>(J50*'Results '!B$37)+(Staffing!L50*'Results '!C$37)+(Staffing!N50*'Results '!D$37)</f>
        <v>9289.4892177064103</v>
      </c>
      <c r="U50" s="8">
        <f>Q50*'Results '!E$37</f>
        <v>2368.2246770772131</v>
      </c>
      <c r="V50" s="9">
        <f>R50*'Results '!F$37</f>
        <v>463.68638371041004</v>
      </c>
    </row>
    <row r="51" spans="1:22" x14ac:dyDescent="0.2">
      <c r="A51" s="6">
        <f t="shared" si="37"/>
        <v>44</v>
      </c>
      <c r="B51" s="8">
        <f>'earned premium'!AU$2</f>
        <v>1129460.5296619928</v>
      </c>
      <c r="C51" s="9">
        <f t="shared" si="38"/>
        <v>8933897.3586169891</v>
      </c>
      <c r="D51" s="3">
        <f t="shared" si="27"/>
        <v>31.624894830535801</v>
      </c>
      <c r="E51" s="3">
        <f t="shared" si="39"/>
        <v>1146.9771503800221</v>
      </c>
      <c r="F51" s="3">
        <f t="shared" si="40"/>
        <v>348.64655203545487</v>
      </c>
      <c r="G51" s="2">
        <f t="shared" si="29"/>
        <v>29.634956923013668</v>
      </c>
      <c r="H51" s="3">
        <f t="shared" si="41"/>
        <v>827.96555526758084</v>
      </c>
      <c r="I51" s="13">
        <f t="shared" si="28"/>
        <v>0.69970079812560471</v>
      </c>
      <c r="J51" s="20">
        <f t="shared" si="30"/>
        <v>0.69970079812560471</v>
      </c>
      <c r="K51" s="10">
        <f>((F51-D51)*'Results '!K$30)/P$3</f>
        <v>1.7631281396858194</v>
      </c>
      <c r="L51" s="20">
        <f t="shared" si="31"/>
        <v>1.7631281396858194</v>
      </c>
      <c r="M51" s="10">
        <f>((F51-D51)*'Results '!K$31)/P$5</f>
        <v>0.58617304417189531</v>
      </c>
      <c r="N51" s="20">
        <f t="shared" si="32"/>
        <v>0.58617304417189531</v>
      </c>
      <c r="O51" s="10">
        <f t="shared" si="33"/>
        <v>3.0490019819833192</v>
      </c>
      <c r="P51" s="24">
        <f t="shared" si="34"/>
        <v>3.0490019819833192</v>
      </c>
      <c r="Q51" s="3">
        <f t="shared" si="35"/>
        <v>1.5245009909916596</v>
      </c>
      <c r="R51" s="11">
        <f>'Med Only'!I46</f>
        <v>0.24810732241687297</v>
      </c>
      <c r="S51" s="64">
        <f t="shared" si="36"/>
        <v>4.8216102953918512</v>
      </c>
      <c r="T51" s="8">
        <f>(J51*'Results '!B$37)+(Staffing!L51*'Results '!C$37)+(Staffing!N51*'Results '!D$37)</f>
        <v>9343.3560774567795</v>
      </c>
      <c r="U51" s="8">
        <f>Q51*'Results '!E$37</f>
        <v>2381.9930978778275</v>
      </c>
      <c r="V51" s="9">
        <f>R51*'Results '!F$37</f>
        <v>465.19347617781131</v>
      </c>
    </row>
    <row r="52" spans="1:22" x14ac:dyDescent="0.2">
      <c r="A52" s="6">
        <f t="shared" si="37"/>
        <v>45</v>
      </c>
      <c r="B52" s="8">
        <f>'earned premium'!AV$2</f>
        <v>1133131.2763833941</v>
      </c>
      <c r="C52" s="9">
        <f t="shared" si="38"/>
        <v>10067028.635000383</v>
      </c>
      <c r="D52" s="3">
        <f t="shared" si="27"/>
        <v>31.727675738735034</v>
      </c>
      <c r="E52" s="3">
        <f t="shared" si="39"/>
        <v>1178.7048261187572</v>
      </c>
      <c r="F52" s="3">
        <f t="shared" si="40"/>
        <v>350.73927085117634</v>
      </c>
      <c r="G52" s="2">
        <f t="shared" si="29"/>
        <v>29.81283802234999</v>
      </c>
      <c r="H52" s="3">
        <f t="shared" si="41"/>
        <v>857.77839328993082</v>
      </c>
      <c r="I52" s="13">
        <f t="shared" si="28"/>
        <v>0.70197482571951264</v>
      </c>
      <c r="J52" s="20">
        <f t="shared" si="30"/>
        <v>0.70197482571951264</v>
      </c>
      <c r="K52" s="10">
        <f>((F52-D52)*'Results '!K$30)/P$3</f>
        <v>1.7741952558945777</v>
      </c>
      <c r="L52" s="20">
        <f t="shared" si="31"/>
        <v>1.7741952558945777</v>
      </c>
      <c r="M52" s="10">
        <f>((F52-D52)*'Results '!K$31)/P$5</f>
        <v>0.58985243936290399</v>
      </c>
      <c r="N52" s="20">
        <f t="shared" si="32"/>
        <v>0.58985243936290399</v>
      </c>
      <c r="O52" s="10">
        <f t="shared" si="33"/>
        <v>3.0660225209769942</v>
      </c>
      <c r="P52" s="24">
        <f t="shared" si="34"/>
        <v>3.0660225209769942</v>
      </c>
      <c r="Q52" s="3">
        <f t="shared" si="35"/>
        <v>1.5330112604884971</v>
      </c>
      <c r="R52" s="11">
        <f>'Med Only'!I47</f>
        <v>0.24891371113679556</v>
      </c>
      <c r="S52" s="64">
        <f t="shared" si="36"/>
        <v>4.8479474926022874</v>
      </c>
      <c r="T52" s="8">
        <f>(J52*'Results '!B$37)+(Staffing!L52*'Results '!C$37)+(Staffing!N52*'Results '!D$37)</f>
        <v>9395.3855428189472</v>
      </c>
      <c r="U52" s="8">
        <f>Q52*'Results '!E$37</f>
        <v>2395.2901723450345</v>
      </c>
      <c r="V52" s="9">
        <f>R52*'Results '!F$37</f>
        <v>466.70542982801862</v>
      </c>
    </row>
    <row r="53" spans="1:22" x14ac:dyDescent="0.2">
      <c r="A53" s="6">
        <f t="shared" si="37"/>
        <v>46</v>
      </c>
      <c r="B53" s="8">
        <f>'earned premium'!AW$2</f>
        <v>1136813.9530316403</v>
      </c>
      <c r="C53" s="9">
        <f t="shared" si="38"/>
        <v>11203842.588032024</v>
      </c>
      <c r="D53" s="3">
        <f t="shared" si="27"/>
        <v>31.83079068488593</v>
      </c>
      <c r="E53" s="3">
        <f t="shared" si="39"/>
        <v>1210.5356168036431</v>
      </c>
      <c r="F53" s="3">
        <f t="shared" si="40"/>
        <v>352.75722351371223</v>
      </c>
      <c r="G53" s="2">
        <f t="shared" si="29"/>
        <v>29.984363998665543</v>
      </c>
      <c r="H53" s="3">
        <f t="shared" si="41"/>
        <v>887.76275728859639</v>
      </c>
      <c r="I53" s="13">
        <f t="shared" si="28"/>
        <v>0.70425624390310126</v>
      </c>
      <c r="J53" s="20">
        <f t="shared" si="30"/>
        <v>0.70425624390310126</v>
      </c>
      <c r="K53" s="10">
        <f>((F53-D53)*'Results '!K$30)/P$3</f>
        <v>1.7848446995018576</v>
      </c>
      <c r="L53" s="20">
        <f t="shared" si="31"/>
        <v>1.7848446995018576</v>
      </c>
      <c r="M53" s="10">
        <f>((F53-D53)*'Results '!K$31)/P$5</f>
        <v>0.59339297430049986</v>
      </c>
      <c r="N53" s="20">
        <f t="shared" si="32"/>
        <v>0.59339297430049986</v>
      </c>
      <c r="O53" s="10">
        <f t="shared" si="33"/>
        <v>3.0824939177054591</v>
      </c>
      <c r="P53" s="24">
        <f t="shared" si="34"/>
        <v>3.0824939177054591</v>
      </c>
      <c r="Q53" s="3">
        <f t="shared" si="35"/>
        <v>1.5412469588527296</v>
      </c>
      <c r="R53" s="11">
        <f>'Med Only'!I48</f>
        <v>0.24972270744577552</v>
      </c>
      <c r="S53" s="64">
        <f t="shared" si="36"/>
        <v>4.8734635840039644</v>
      </c>
      <c r="T53" s="8">
        <f>(J53*'Results '!B$37)+(Staffing!L53*'Results '!C$37)+(Staffing!N53*'Results '!D$37)</f>
        <v>9445.742701504154</v>
      </c>
      <c r="U53" s="8">
        <f>Q53*'Results '!E$37</f>
        <v>2408.1582365678364</v>
      </c>
      <c r="V53" s="9">
        <f>R53*'Results '!F$37</f>
        <v>468.22227262622141</v>
      </c>
    </row>
    <row r="54" spans="1:22" x14ac:dyDescent="0.2">
      <c r="A54" s="6">
        <f t="shared" si="37"/>
        <v>47</v>
      </c>
      <c r="B54" s="8">
        <f>'earned premium'!AX$2</f>
        <v>1140508.5983789931</v>
      </c>
      <c r="C54" s="9">
        <f t="shared" si="38"/>
        <v>12344351.186411018</v>
      </c>
      <c r="D54" s="3">
        <f t="shared" si="27"/>
        <v>31.934240754611807</v>
      </c>
      <c r="E54" s="3">
        <f t="shared" si="39"/>
        <v>1242.4698575582549</v>
      </c>
      <c r="F54" s="3">
        <f t="shared" si="40"/>
        <v>354.70710026965855</v>
      </c>
      <c r="G54" s="2">
        <f t="shared" si="29"/>
        <v>30.150103522920979</v>
      </c>
      <c r="H54" s="3">
        <f t="shared" si="41"/>
        <v>917.91286081151736</v>
      </c>
      <c r="I54" s="13">
        <f t="shared" si="28"/>
        <v>0.70654507669578626</v>
      </c>
      <c r="J54" s="20">
        <f t="shared" si="30"/>
        <v>0.70654507669578626</v>
      </c>
      <c r="K54" s="10">
        <f>((F54-D54)*'Results '!K$30)/P$3</f>
        <v>1.7951136725336838</v>
      </c>
      <c r="L54" s="20">
        <f t="shared" si="31"/>
        <v>1.7951136725336838</v>
      </c>
      <c r="M54" s="10">
        <f>((F54-D54)*'Results '!K$31)/P$5</f>
        <v>0.59680701724332152</v>
      </c>
      <c r="N54" s="20">
        <f t="shared" si="32"/>
        <v>0.59680701724332152</v>
      </c>
      <c r="O54" s="10">
        <f t="shared" si="33"/>
        <v>3.0984657664727915</v>
      </c>
      <c r="P54" s="24">
        <f t="shared" si="34"/>
        <v>3.0984657664727915</v>
      </c>
      <c r="Q54" s="3">
        <f t="shared" si="35"/>
        <v>1.5492328832363957</v>
      </c>
      <c r="R54" s="11">
        <f>'Med Only'!I49</f>
        <v>0.25053432416599047</v>
      </c>
      <c r="S54" s="64">
        <f t="shared" si="36"/>
        <v>4.8982329738751771</v>
      </c>
      <c r="T54" s="8">
        <f>(J54*'Results '!B$37)+(Staffing!L54*'Results '!C$37)+(Staffing!N54*'Results '!D$37)</f>
        <v>9494.5786377230506</v>
      </c>
      <c r="U54" s="8">
        <f>Q54*'Results '!E$37</f>
        <v>2420.6360354505341</v>
      </c>
      <c r="V54" s="9">
        <f>R54*'Results '!F$37</f>
        <v>469.74402861360193</v>
      </c>
    </row>
    <row r="55" spans="1:22" s="19" customFormat="1" x14ac:dyDescent="0.2">
      <c r="A55" s="15">
        <f t="shared" si="37"/>
        <v>48</v>
      </c>
      <c r="B55" s="8">
        <f>'earned premium'!AY$2</f>
        <v>1144215.2513237249</v>
      </c>
      <c r="C55" s="17">
        <f t="shared" si="38"/>
        <v>13488566.437734742</v>
      </c>
      <c r="D55" s="5">
        <f t="shared" si="27"/>
        <v>32.038027037064296</v>
      </c>
      <c r="E55" s="5">
        <f t="shared" si="39"/>
        <v>1274.5078845953192</v>
      </c>
      <c r="F55" s="5">
        <f t="shared" si="40"/>
        <v>356.59502378380182</v>
      </c>
      <c r="G55" s="18">
        <f t="shared" si="29"/>
        <v>30.310577021623157</v>
      </c>
      <c r="H55" s="5">
        <f t="shared" si="41"/>
        <v>948.22343783314057</v>
      </c>
      <c r="I55" s="13">
        <f t="shared" si="28"/>
        <v>0.70884134819504763</v>
      </c>
      <c r="J55" s="20">
        <f t="shared" si="30"/>
        <v>0.70884134819504763</v>
      </c>
      <c r="K55" s="10">
        <f>((F55-D55)*'Results '!K$30)/P$3</f>
        <v>1.8050362203683945</v>
      </c>
      <c r="L55" s="20">
        <f t="shared" si="31"/>
        <v>1.8050362203683945</v>
      </c>
      <c r="M55" s="10">
        <f>((F55-D55)*'Results '!K$31)/P$5</f>
        <v>0.60010588698471767</v>
      </c>
      <c r="N55" s="20">
        <f t="shared" si="32"/>
        <v>0.60010588698471767</v>
      </c>
      <c r="O55" s="13">
        <f t="shared" si="33"/>
        <v>3.1139834555481598</v>
      </c>
      <c r="P55" s="24">
        <f t="shared" si="34"/>
        <v>3.1139834555481598</v>
      </c>
      <c r="Q55" s="3">
        <f t="shared" si="35"/>
        <v>1.5569917277740799</v>
      </c>
      <c r="R55" s="33">
        <f>'Med Only'!I50</f>
        <v>0.25134857272661082</v>
      </c>
      <c r="S55" s="64">
        <f t="shared" si="36"/>
        <v>4.9223237560488506</v>
      </c>
      <c r="T55" s="8">
        <f>(J55*'Results '!B$37)+(Staffing!L55*'Results '!C$37)+(Staffing!N55*'Results '!D$37)</f>
        <v>9542.0316225773404</v>
      </c>
      <c r="U55" s="8">
        <f>Q55*'Results '!E$37</f>
        <v>2432.7590279874221</v>
      </c>
      <c r="V55" s="9">
        <f>R55*'Results '!F$37</f>
        <v>471.27071921949761</v>
      </c>
    </row>
    <row r="56" spans="1:22" s="27" customFormat="1" x14ac:dyDescent="0.2">
      <c r="A56" s="21">
        <f t="shared" si="37"/>
        <v>49</v>
      </c>
      <c r="B56" s="8">
        <f>'earned premium'!AZ$2</f>
        <v>1147933.9508905269</v>
      </c>
      <c r="C56" s="9">
        <f>B56</f>
        <v>1147933.9508905269</v>
      </c>
      <c r="D56" s="24">
        <f t="shared" si="27"/>
        <v>32.14215062493475</v>
      </c>
      <c r="E56" s="24">
        <f t="shared" si="39"/>
        <v>1306.650035220254</v>
      </c>
      <c r="F56" s="24">
        <f t="shared" si="40"/>
        <v>358.42659738711347</v>
      </c>
      <c r="G56" s="25">
        <f t="shared" si="29"/>
        <v>30.466260777904647</v>
      </c>
      <c r="H56" s="24">
        <f t="shared" si="41"/>
        <v>978.68969861104517</v>
      </c>
      <c r="I56" s="26">
        <f t="shared" si="28"/>
        <v>0.71114508257668141</v>
      </c>
      <c r="J56" s="20">
        <f t="shared" si="30"/>
        <v>0.71114508257668141</v>
      </c>
      <c r="K56" s="10">
        <f>((F56-D56)*'Results '!K$30)/P$3</f>
        <v>1.8146435000696559</v>
      </c>
      <c r="L56" s="20">
        <f t="shared" si="31"/>
        <v>1.8146435000696559</v>
      </c>
      <c r="M56" s="10">
        <f>((F56-D56)*'Results '!K$31)/P$5</f>
        <v>0.60329994206326854</v>
      </c>
      <c r="N56" s="20">
        <f t="shared" si="32"/>
        <v>0.60329994206326854</v>
      </c>
      <c r="O56" s="26">
        <f t="shared" si="33"/>
        <v>3.1290885247096059</v>
      </c>
      <c r="P56" s="24">
        <f t="shared" si="34"/>
        <v>3.1290885247096059</v>
      </c>
      <c r="Q56" s="3">
        <f t="shared" si="35"/>
        <v>1.5645442623548029</v>
      </c>
      <c r="R56" s="11">
        <f>'Med Only'!I51</f>
        <v>0.25216546363271652</v>
      </c>
      <c r="S56" s="64">
        <f t="shared" si="36"/>
        <v>4.9457982506971261</v>
      </c>
      <c r="T56" s="8">
        <f>(J56*'Results '!B$37)+(Staffing!L56*'Results '!C$37)+(Staffing!N56*'Results '!D$37)</f>
        <v>9588.2282032684652</v>
      </c>
      <c r="U56" s="8">
        <f>Q56*'Results '!E$37</f>
        <v>2444.559666589214</v>
      </c>
      <c r="V56" s="9">
        <f>R56*'Results '!F$37</f>
        <v>472.80236414060494</v>
      </c>
    </row>
    <row r="57" spans="1:22" s="27" customFormat="1" x14ac:dyDescent="0.2">
      <c r="A57" s="21">
        <f t="shared" si="37"/>
        <v>50</v>
      </c>
      <c r="B57" s="8">
        <f>'earned premium'!BA$2</f>
        <v>1151664.7362309212</v>
      </c>
      <c r="C57" s="9">
        <f t="shared" si="38"/>
        <v>2299598.6871214481</v>
      </c>
      <c r="D57" s="24">
        <f t="shared" si="27"/>
        <v>32.246612614465789</v>
      </c>
      <c r="E57" s="24">
        <f t="shared" si="39"/>
        <v>1338.8966478347197</v>
      </c>
      <c r="F57" s="24">
        <f t="shared" si="40"/>
        <v>360.20694922367454</v>
      </c>
      <c r="G57" s="25">
        <f t="shared" si="29"/>
        <v>30.617590684012338</v>
      </c>
      <c r="H57" s="24">
        <f t="shared" si="41"/>
        <v>1009.3072892950576</v>
      </c>
      <c r="I57" s="26">
        <f t="shared" si="28"/>
        <v>0.71345630409505567</v>
      </c>
      <c r="J57" s="20">
        <f t="shared" ref="J57:J67" si="42">(I57*1)*Q$3</f>
        <v>0.71345630409505567</v>
      </c>
      <c r="K57" s="10">
        <f>((F57-D57)*'Results '!K$30)/P$3</f>
        <v>1.8239640259112153</v>
      </c>
      <c r="L57" s="20">
        <f t="shared" ref="L57:L67" si="43">(K57*1)*Q$3</f>
        <v>1.8239640259112153</v>
      </c>
      <c r="M57" s="10">
        <f>((F57-D57)*'Results '!K$31)/P$5</f>
        <v>0.60639866239042695</v>
      </c>
      <c r="N57" s="20">
        <f t="shared" ref="N57:N67" si="44">(M57*1)*Q$3</f>
        <v>0.60639866239042695</v>
      </c>
      <c r="O57" s="26">
        <f t="shared" ref="O57:O67" si="45">I57+K57+M57</f>
        <v>3.1438189923966982</v>
      </c>
      <c r="P57" s="24">
        <f t="shared" ref="P57:P67" si="46">IF(O57&lt;1,1,O57)*Q$3</f>
        <v>3.1438189923966982</v>
      </c>
      <c r="Q57" s="3">
        <f t="shared" ref="Q57:Q67" si="47">P57*Q$5</f>
        <v>1.5719094961983491</v>
      </c>
      <c r="R57" s="11">
        <f>'Med Only'!I52</f>
        <v>0.25298500677950142</v>
      </c>
      <c r="S57" s="64">
        <f t="shared" ref="S57:S67" si="48">SUM(P57:R57)</f>
        <v>4.9687134953745486</v>
      </c>
      <c r="T57" s="8">
        <f>(J57*'Results '!B$37)+(Staffing!L57*'Results '!C$37)+(Staffing!N57*'Results '!D$37)</f>
        <v>9633.2841997238247</v>
      </c>
      <c r="U57" s="8">
        <f>Q57*'Results '!E$37</f>
        <v>2456.0676526667903</v>
      </c>
      <c r="V57" s="9">
        <f>R57*'Results '!F$37</f>
        <v>474.33898193010333</v>
      </c>
    </row>
    <row r="58" spans="1:22" s="27" customFormat="1" x14ac:dyDescent="0.2">
      <c r="A58" s="21">
        <f t="shared" ref="A58:A67" si="49">A57+1</f>
        <v>51</v>
      </c>
      <c r="B58" s="8">
        <f>'earned premium'!BB$2</f>
        <v>1155407.6466236718</v>
      </c>
      <c r="C58" s="9">
        <f t="shared" ref="C58:C67" si="50">B58+C57</f>
        <v>3455006.3337451201</v>
      </c>
      <c r="D58" s="24">
        <f t="shared" si="27"/>
        <v>32.351414105462808</v>
      </c>
      <c r="E58" s="24">
        <f t="shared" ref="E58:E67" si="51">D58+E57</f>
        <v>1371.2480619401824</v>
      </c>
      <c r="F58" s="24">
        <f t="shared" ref="F58:F67" si="52">E58-H57</f>
        <v>361.94077264512487</v>
      </c>
      <c r="G58" s="25">
        <f t="shared" si="29"/>
        <v>30.764965674835615</v>
      </c>
      <c r="H58" s="24">
        <f t="shared" ref="H58:H67" si="53">G58+H57</f>
        <v>1040.0722549698933</v>
      </c>
      <c r="I58" s="26">
        <f t="shared" si="28"/>
        <v>0.71577503708336465</v>
      </c>
      <c r="J58" s="20">
        <f t="shared" si="42"/>
        <v>0.71577503708336465</v>
      </c>
      <c r="K58" s="10">
        <f>((F58-D58)*'Results '!K$30)/P$3</f>
        <v>1.8330238940321206</v>
      </c>
      <c r="L58" s="20">
        <f t="shared" si="43"/>
        <v>1.8330238940321206</v>
      </c>
      <c r="M58" s="10">
        <f>((F58-D58)*'Results '!K$31)/P$5</f>
        <v>0.60941072393983509</v>
      </c>
      <c r="N58" s="20">
        <f t="shared" si="44"/>
        <v>0.60941072393983509</v>
      </c>
      <c r="O58" s="26">
        <f t="shared" si="45"/>
        <v>3.1582096550553205</v>
      </c>
      <c r="P58" s="24">
        <f t="shared" si="46"/>
        <v>3.1582096550553205</v>
      </c>
      <c r="Q58" s="3">
        <f t="shared" si="47"/>
        <v>1.5791048275276602</v>
      </c>
      <c r="R58" s="11">
        <f>'Med Only'!I53</f>
        <v>0.25380721166282044</v>
      </c>
      <c r="S58" s="64">
        <f t="shared" si="48"/>
        <v>4.9911216942458019</v>
      </c>
      <c r="T58" s="8">
        <f>(J58*'Results '!B$37)+(Staffing!L58*'Results '!C$37)+(Staffing!N58*'Results '!D$37)</f>
        <v>9677.3056165101079</v>
      </c>
      <c r="U58" s="8">
        <f>Q58*'Results '!E$37</f>
        <v>2467.3101704904188</v>
      </c>
      <c r="V58" s="9">
        <f>R58*'Results '!F$37</f>
        <v>475.88059039242387</v>
      </c>
    </row>
    <row r="59" spans="1:22" s="27" customFormat="1" x14ac:dyDescent="0.2">
      <c r="A59" s="21">
        <f t="shared" si="49"/>
        <v>52</v>
      </c>
      <c r="B59" s="8">
        <f>'earned premium'!BC$2</f>
        <v>1159162.7214751986</v>
      </c>
      <c r="C59" s="9">
        <f t="shared" si="50"/>
        <v>4614169.055220319</v>
      </c>
      <c r="D59" s="24">
        <f t="shared" si="27"/>
        <v>32.456556201305567</v>
      </c>
      <c r="E59" s="24">
        <f t="shared" si="51"/>
        <v>1403.704618141488</v>
      </c>
      <c r="F59" s="24">
        <f t="shared" si="52"/>
        <v>363.63236317159476</v>
      </c>
      <c r="G59" s="25">
        <f t="shared" si="29"/>
        <v>30.908750869585557</v>
      </c>
      <c r="H59" s="24">
        <f t="shared" si="53"/>
        <v>1070.9810058394787</v>
      </c>
      <c r="I59" s="26">
        <f t="shared" si="28"/>
        <v>0.71810130595388577</v>
      </c>
      <c r="J59" s="20">
        <f t="shared" si="42"/>
        <v>0.71810130595388577</v>
      </c>
      <c r="K59" s="10">
        <f>((F59-D59)*'Results '!K$30)/P$3</f>
        <v>1.8418469879963011</v>
      </c>
      <c r="L59" s="20">
        <f t="shared" si="43"/>
        <v>1.8418469879963011</v>
      </c>
      <c r="M59" s="10">
        <f>((F59-D59)*'Results '!K$31)/P$5</f>
        <v>0.61234406708806477</v>
      </c>
      <c r="N59" s="20">
        <f t="shared" si="44"/>
        <v>0.61234406708806477</v>
      </c>
      <c r="O59" s="26">
        <f t="shared" si="45"/>
        <v>3.1722923610382514</v>
      </c>
      <c r="P59" s="24">
        <f t="shared" si="46"/>
        <v>3.1722923610382514</v>
      </c>
      <c r="Q59" s="3">
        <f t="shared" si="47"/>
        <v>1.5861461805191257</v>
      </c>
      <c r="R59" s="11">
        <f>'Med Only'!I54</f>
        <v>0.25463208752028599</v>
      </c>
      <c r="S59" s="64">
        <f t="shared" si="48"/>
        <v>5.0130706290776628</v>
      </c>
      <c r="T59" s="8">
        <f>(J59*'Results '!B$37)+(Staffing!L59*'Results '!C$37)+(Staffing!N59*'Results '!D$37)</f>
        <v>9720.3894772342919</v>
      </c>
      <c r="U59" s="8">
        <f>Q59*'Results '!E$37</f>
        <v>2478.3121011710159</v>
      </c>
      <c r="V59" s="9">
        <f>R59*'Results '!F$37</f>
        <v>477.42720684780124</v>
      </c>
    </row>
    <row r="60" spans="1:22" s="27" customFormat="1" x14ac:dyDescent="0.2">
      <c r="A60" s="21">
        <f t="shared" si="49"/>
        <v>53</v>
      </c>
      <c r="B60" s="8">
        <f>'earned premium'!BD$2</f>
        <v>1162930.0003199929</v>
      </c>
      <c r="C60" s="9">
        <f t="shared" si="50"/>
        <v>5777099.0555403121</v>
      </c>
      <c r="D60" s="24">
        <f t="shared" si="27"/>
        <v>32.562040008959805</v>
      </c>
      <c r="E60" s="24">
        <f t="shared" si="51"/>
        <v>1436.2666581504479</v>
      </c>
      <c r="F60" s="24">
        <f t="shared" si="52"/>
        <v>365.28565231096923</v>
      </c>
      <c r="G60" s="25">
        <f t="shared" si="29"/>
        <v>31.049280446432387</v>
      </c>
      <c r="H60" s="24">
        <f t="shared" si="53"/>
        <v>1102.0302862859112</v>
      </c>
      <c r="I60" s="26">
        <f t="shared" si="28"/>
        <v>0.72043513519823577</v>
      </c>
      <c r="J60" s="20">
        <f t="shared" si="42"/>
        <v>0.72043513519823577</v>
      </c>
      <c r="K60" s="10">
        <f>((F60-D60)*'Results '!K$30)/P$3</f>
        <v>1.8504551668796374</v>
      </c>
      <c r="L60" s="20">
        <f t="shared" si="43"/>
        <v>1.8504551668796374</v>
      </c>
      <c r="M60" s="10">
        <f>((F60-D60)*'Results '!K$31)/P$5</f>
        <v>0.6152059591464154</v>
      </c>
      <c r="N60" s="20">
        <f t="shared" si="44"/>
        <v>0.6152059591464154</v>
      </c>
      <c r="O60" s="26">
        <f t="shared" si="45"/>
        <v>3.1860962612242885</v>
      </c>
      <c r="P60" s="24">
        <f t="shared" si="46"/>
        <v>3.1860962612242885</v>
      </c>
      <c r="Q60" s="3">
        <f t="shared" si="47"/>
        <v>1.5930481306121442</v>
      </c>
      <c r="R60" s="11">
        <f>'Med Only'!I55</f>
        <v>0.25545964342583305</v>
      </c>
      <c r="S60" s="64">
        <f t="shared" si="48"/>
        <v>5.034604035262265</v>
      </c>
      <c r="T60" s="8">
        <f>(J60*'Results '!B$37)+(Staffing!L60*'Results '!C$37)+(Staffing!N60*'Results '!D$37)</f>
        <v>9762.6245880208389</v>
      </c>
      <c r="U60" s="8">
        <f>Q60*'Results '!E$37</f>
        <v>2489.096218453074</v>
      </c>
      <c r="V60" s="9">
        <f>R60*'Results '!F$37</f>
        <v>478.97884830957992</v>
      </c>
    </row>
    <row r="61" spans="1:22" s="27" customFormat="1" x14ac:dyDescent="0.2">
      <c r="A61" s="21">
        <f t="shared" si="49"/>
        <v>54</v>
      </c>
      <c r="B61" s="8">
        <f>'earned premium'!BE$2</f>
        <v>1166709.5228210329</v>
      </c>
      <c r="C61" s="9">
        <f t="shared" si="50"/>
        <v>6943808.5783613455</v>
      </c>
      <c r="D61" s="24">
        <f t="shared" si="27"/>
        <v>32.667866638988919</v>
      </c>
      <c r="E61" s="24">
        <f t="shared" si="51"/>
        <v>1468.9345247894369</v>
      </c>
      <c r="F61" s="24">
        <f t="shared" si="52"/>
        <v>366.90423850352568</v>
      </c>
      <c r="G61" s="25">
        <f t="shared" si="29"/>
        <v>31.186860272799684</v>
      </c>
      <c r="H61" s="24">
        <f t="shared" si="53"/>
        <v>1133.217146558711</v>
      </c>
      <c r="I61" s="26">
        <f t="shared" si="28"/>
        <v>0.72277654938762992</v>
      </c>
      <c r="J61" s="20">
        <f t="shared" si="42"/>
        <v>0.72277654938762992</v>
      </c>
      <c r="K61" s="10">
        <f>((F61-D61)*'Results '!K$30)/P$3</f>
        <v>1.8588684373696933</v>
      </c>
      <c r="L61" s="20">
        <f t="shared" si="43"/>
        <v>1.8588684373696933</v>
      </c>
      <c r="M61" s="10">
        <f>((F61-D61)*'Results '!K$31)/P$5</f>
        <v>0.61800305157752844</v>
      </c>
      <c r="N61" s="20">
        <f t="shared" si="44"/>
        <v>0.61800305157752844</v>
      </c>
      <c r="O61" s="26">
        <f t="shared" si="45"/>
        <v>3.1996480383348516</v>
      </c>
      <c r="P61" s="24">
        <f t="shared" si="46"/>
        <v>3.1996480383348516</v>
      </c>
      <c r="Q61" s="3">
        <f t="shared" si="47"/>
        <v>1.5998240191674258</v>
      </c>
      <c r="R61" s="11">
        <f>'Med Only'!I56</f>
        <v>0.25628988835310812</v>
      </c>
      <c r="S61" s="64">
        <f t="shared" si="48"/>
        <v>5.0557619458553855</v>
      </c>
      <c r="T61" s="8">
        <f>(J61*'Results '!B$37)+(Staffing!L61*'Results '!C$37)+(Staffing!N61*'Results '!D$37)</f>
        <v>9804.0922360936638</v>
      </c>
      <c r="U61" s="8">
        <f>Q61*'Results '!E$37</f>
        <v>2499.6833678652702</v>
      </c>
      <c r="V61" s="9">
        <f>R61*'Results '!F$37</f>
        <v>480.53553160306672</v>
      </c>
    </row>
    <row r="62" spans="1:22" s="27" customFormat="1" x14ac:dyDescent="0.2">
      <c r="A62" s="21">
        <f t="shared" si="49"/>
        <v>55</v>
      </c>
      <c r="B62" s="8">
        <f>'earned premium'!BF$2</f>
        <v>1170501.3287702012</v>
      </c>
      <c r="C62" s="9">
        <f t="shared" si="50"/>
        <v>8114309.9071315471</v>
      </c>
      <c r="D62" s="24">
        <f t="shared" si="27"/>
        <v>32.774037205565634</v>
      </c>
      <c r="E62" s="24">
        <f t="shared" si="51"/>
        <v>1501.7085619950026</v>
      </c>
      <c r="F62" s="24">
        <f t="shared" si="52"/>
        <v>368.49141543629162</v>
      </c>
      <c r="G62" s="25">
        <f t="shared" si="29"/>
        <v>31.321770312084791</v>
      </c>
      <c r="H62" s="24">
        <f t="shared" si="53"/>
        <v>1164.5389168707957</v>
      </c>
      <c r="I62" s="26">
        <f t="shared" si="28"/>
        <v>0.72512557317313975</v>
      </c>
      <c r="J62" s="20">
        <f t="shared" si="42"/>
        <v>0.72512557317313975</v>
      </c>
      <c r="K62" s="10">
        <f>((F62-D62)*'Results '!K$30)/P$3</f>
        <v>1.8671051112370383</v>
      </c>
      <c r="L62" s="20">
        <f t="shared" si="43"/>
        <v>1.8671051112370383</v>
      </c>
      <c r="M62" s="10">
        <f>((F62-D62)*'Results '!K$31)/P$5</f>
        <v>0.62074143234861245</v>
      </c>
      <c r="N62" s="20">
        <f t="shared" si="44"/>
        <v>0.62074143234861245</v>
      </c>
      <c r="O62" s="26">
        <f t="shared" si="45"/>
        <v>3.2129721167587908</v>
      </c>
      <c r="P62" s="24">
        <f t="shared" si="46"/>
        <v>3.2129721167587908</v>
      </c>
      <c r="Q62" s="3">
        <f t="shared" si="47"/>
        <v>1.6064860583793954</v>
      </c>
      <c r="R62" s="11">
        <f>'Med Only'!I57</f>
        <v>0.25712283121797025</v>
      </c>
      <c r="S62" s="64">
        <f t="shared" si="48"/>
        <v>5.0765810063561556</v>
      </c>
      <c r="T62" s="8">
        <f>(J62*'Results '!B$37)+(Staffing!L62*'Results '!C$37)+(Staffing!N62*'Results '!D$37)</f>
        <v>9844.8668289789821</v>
      </c>
      <c r="U62" s="8">
        <f>Q62*'Results '!E$37</f>
        <v>2510.092630643368</v>
      </c>
      <c r="V62" s="9">
        <f>R62*'Results '!F$37</f>
        <v>482.09727344521866</v>
      </c>
    </row>
    <row r="63" spans="1:22" s="27" customFormat="1" x14ac:dyDescent="0.2">
      <c r="A63" s="21">
        <f t="shared" si="49"/>
        <v>56</v>
      </c>
      <c r="B63" s="8">
        <f>'earned premium'!BG$2</f>
        <v>1174305.4580887046</v>
      </c>
      <c r="C63" s="9">
        <f t="shared" si="50"/>
        <v>9288615.3652202524</v>
      </c>
      <c r="D63" s="24">
        <f t="shared" si="27"/>
        <v>32.880552826483729</v>
      </c>
      <c r="E63" s="24">
        <f t="shared" si="51"/>
        <v>1534.5891148214864</v>
      </c>
      <c r="F63" s="24">
        <f t="shared" si="52"/>
        <v>370.05019795069074</v>
      </c>
      <c r="G63" s="25">
        <f t="shared" si="29"/>
        <v>31.454266825808716</v>
      </c>
      <c r="H63" s="24">
        <f t="shared" si="53"/>
        <v>1195.9931836966043</v>
      </c>
      <c r="I63" s="26">
        <f t="shared" si="28"/>
        <v>0.72748223128595257</v>
      </c>
      <c r="J63" s="20">
        <f t="shared" si="42"/>
        <v>0.72748223128595257</v>
      </c>
      <c r="K63" s="10">
        <f>((F63-D63)*'Results '!K$30)/P$3</f>
        <v>1.8751819494215518</v>
      </c>
      <c r="L63" s="20">
        <f t="shared" si="43"/>
        <v>1.8751819494215518</v>
      </c>
      <c r="M63" s="10">
        <f>((F63-D63)*'Results '!K$31)/P$5</f>
        <v>0.62342667383465877</v>
      </c>
      <c r="N63" s="20">
        <f t="shared" si="44"/>
        <v>0.62342667383465877</v>
      </c>
      <c r="O63" s="26">
        <f t="shared" si="45"/>
        <v>3.2260908545421634</v>
      </c>
      <c r="P63" s="24">
        <f t="shared" si="46"/>
        <v>3.2260908545421634</v>
      </c>
      <c r="Q63" s="3">
        <f t="shared" si="47"/>
        <v>1.6130454272710817</v>
      </c>
      <c r="R63" s="11">
        <f>'Med Only'!I58</f>
        <v>0.25795848090699741</v>
      </c>
      <c r="S63" s="64">
        <f t="shared" si="48"/>
        <v>5.0970947627202419</v>
      </c>
      <c r="T63" s="8">
        <f>(J63*'Results '!B$37)+(Staffing!L63*'Results '!C$37)+(Staffing!N63*'Results '!D$37)</f>
        <v>9885.0164793761469</v>
      </c>
      <c r="U63" s="8">
        <f>Q63*'Results '!E$37</f>
        <v>2520.3414737197299</v>
      </c>
      <c r="V63" s="9">
        <f>R63*'Results '!F$37</f>
        <v>483.66409049809181</v>
      </c>
    </row>
    <row r="64" spans="1:22" s="27" customFormat="1" x14ac:dyDescent="0.2">
      <c r="A64" s="21">
        <f t="shared" si="49"/>
        <v>57</v>
      </c>
      <c r="B64" s="8">
        <f>'earned premium'!BH$2</f>
        <v>1178121.9508274929</v>
      </c>
      <c r="C64" s="9">
        <f t="shared" si="50"/>
        <v>10466737.316047745</v>
      </c>
      <c r="D64" s="24">
        <f t="shared" si="27"/>
        <v>32.987414623169805</v>
      </c>
      <c r="E64" s="24">
        <f t="shared" si="51"/>
        <v>1567.5765294446562</v>
      </c>
      <c r="F64" s="24">
        <f t="shared" si="52"/>
        <v>371.5833457480519</v>
      </c>
      <c r="G64" s="25">
        <f t="shared" si="29"/>
        <v>31.584584388584414</v>
      </c>
      <c r="H64" s="24">
        <f t="shared" si="53"/>
        <v>1227.5777680851888</v>
      </c>
      <c r="I64" s="26">
        <f t="shared" si="28"/>
        <v>0.72984654853763198</v>
      </c>
      <c r="J64" s="20">
        <f t="shared" si="42"/>
        <v>0.72984654853763198</v>
      </c>
      <c r="K64" s="10">
        <f>((F64-D64)*'Results '!K$30)/P$3</f>
        <v>1.8831142938714602</v>
      </c>
      <c r="L64" s="20">
        <f t="shared" si="43"/>
        <v>1.8831142938714602</v>
      </c>
      <c r="M64" s="10">
        <f>((F64-D64)*'Results '!K$31)/P$5</f>
        <v>0.62606387664990704</v>
      </c>
      <c r="N64" s="20">
        <f t="shared" si="44"/>
        <v>0.62606387664990704</v>
      </c>
      <c r="O64" s="26">
        <f t="shared" si="45"/>
        <v>3.2390247190589991</v>
      </c>
      <c r="P64" s="24">
        <f t="shared" si="46"/>
        <v>3.2390247190589991</v>
      </c>
      <c r="Q64" s="3">
        <f t="shared" si="47"/>
        <v>1.6195123595294996</v>
      </c>
      <c r="R64" s="11">
        <f>'Med Only'!I59</f>
        <v>0.2587968462966162</v>
      </c>
      <c r="S64" s="64">
        <f t="shared" si="48"/>
        <v>5.1173339248851146</v>
      </c>
      <c r="T64" s="8">
        <f>(J64*'Results '!B$37)+(Staffing!L64*'Results '!C$37)+(Staffing!N64*'Results '!D$37)</f>
        <v>9924.6035403148489</v>
      </c>
      <c r="U64" s="8">
        <f>Q64*'Results '!E$37</f>
        <v>2530.4458869638133</v>
      </c>
      <c r="V64" s="9">
        <f>R64*'Results '!F$37</f>
        <v>485.23599940470859</v>
      </c>
    </row>
    <row r="65" spans="1:22" s="27" customFormat="1" x14ac:dyDescent="0.2">
      <c r="A65" s="21">
        <f t="shared" si="49"/>
        <v>58</v>
      </c>
      <c r="B65" s="8">
        <f>'earned premium'!BI$2</f>
        <v>1181950.8471676821</v>
      </c>
      <c r="C65" s="9">
        <f t="shared" si="50"/>
        <v>11648688.163215427</v>
      </c>
      <c r="D65" s="24">
        <f t="shared" si="27"/>
        <v>33.094623720695097</v>
      </c>
      <c r="E65" s="24">
        <f t="shared" si="51"/>
        <v>1600.6711531653514</v>
      </c>
      <c r="F65" s="24">
        <f t="shared" si="52"/>
        <v>373.09338508016253</v>
      </c>
      <c r="G65" s="25">
        <f t="shared" si="29"/>
        <v>31.712937731813817</v>
      </c>
      <c r="H65" s="24">
        <f t="shared" si="53"/>
        <v>1259.2907058170026</v>
      </c>
      <c r="I65" s="26">
        <f t="shared" si="28"/>
        <v>0.73221854982037904</v>
      </c>
      <c r="J65" s="20">
        <f t="shared" si="42"/>
        <v>0.73221854982037904</v>
      </c>
      <c r="K65" s="10">
        <f>((F65-D65)*'Results '!K$30)/P$3</f>
        <v>1.8909161881761154</v>
      </c>
      <c r="L65" s="20">
        <f t="shared" si="43"/>
        <v>1.8909161881761154</v>
      </c>
      <c r="M65" s="10">
        <f>((F65-D65)*'Results '!K$31)/P$5</f>
        <v>0.6286577097536552</v>
      </c>
      <c r="N65" s="20">
        <f t="shared" si="44"/>
        <v>0.6286577097536552</v>
      </c>
      <c r="O65" s="26">
        <f t="shared" si="45"/>
        <v>3.2517924477501499</v>
      </c>
      <c r="P65" s="24">
        <f t="shared" si="46"/>
        <v>3.2517924477501499</v>
      </c>
      <c r="Q65" s="3">
        <f t="shared" si="47"/>
        <v>1.6258962238750749</v>
      </c>
      <c r="R65" s="11">
        <f>'Med Only'!I60</f>
        <v>0.25963793626594983</v>
      </c>
      <c r="S65" s="64">
        <f t="shared" si="48"/>
        <v>5.1373266078911746</v>
      </c>
      <c r="T65" s="8">
        <f>(J65*'Results '!B$37)+(Staffing!L65*'Results '!C$37)+(Staffing!N65*'Results '!D$37)</f>
        <v>9963.6850948242318</v>
      </c>
      <c r="U65" s="8">
        <f>Q65*'Results '!E$37</f>
        <v>2540.4205087573077</v>
      </c>
      <c r="V65" s="9">
        <f>R65*'Results '!F$37</f>
        <v>486.81301681314761</v>
      </c>
    </row>
    <row r="66" spans="1:22" s="27" customFormat="1" x14ac:dyDescent="0.2">
      <c r="A66" s="21">
        <f t="shared" si="49"/>
        <v>59</v>
      </c>
      <c r="B66" s="8">
        <f>'earned premium'!BJ$2</f>
        <v>1185792.187420977</v>
      </c>
      <c r="C66" s="9">
        <f t="shared" si="50"/>
        <v>12834480.350636404</v>
      </c>
      <c r="D66" s="24">
        <f t="shared" si="27"/>
        <v>33.202181247787358</v>
      </c>
      <c r="E66" s="24">
        <f t="shared" si="51"/>
        <v>1633.8733344131388</v>
      </c>
      <c r="F66" s="24">
        <f t="shared" si="52"/>
        <v>374.58262859613615</v>
      </c>
      <c r="G66" s="25">
        <f t="shared" si="29"/>
        <v>31.839523430671576</v>
      </c>
      <c r="H66" s="24">
        <f t="shared" si="53"/>
        <v>1291.1302292476742</v>
      </c>
      <c r="I66" s="26">
        <f t="shared" si="28"/>
        <v>0.73459826010729534</v>
      </c>
      <c r="J66" s="20">
        <f t="shared" si="42"/>
        <v>0.73459826010729534</v>
      </c>
      <c r="K66" s="10">
        <f>((F66-D66)*'Results '!K$30)/P$3</f>
        <v>1.8986004879450482</v>
      </c>
      <c r="L66" s="20">
        <f t="shared" si="43"/>
        <v>1.8986004879450482</v>
      </c>
      <c r="M66" s="10">
        <f>((F66-D66)*'Results '!K$31)/P$5</f>
        <v>0.63121244714709701</v>
      </c>
      <c r="N66" s="20">
        <f t="shared" si="44"/>
        <v>0.63121244714709701</v>
      </c>
      <c r="O66" s="26">
        <f t="shared" si="45"/>
        <v>3.2644111951994406</v>
      </c>
      <c r="P66" s="24">
        <f t="shared" si="46"/>
        <v>3.2644111951994406</v>
      </c>
      <c r="Q66" s="3">
        <f t="shared" si="47"/>
        <v>1.6322055975997203</v>
      </c>
      <c r="R66" s="11">
        <f>'Med Only'!I61</f>
        <v>0.26048175970545678</v>
      </c>
      <c r="S66" s="64">
        <f t="shared" si="48"/>
        <v>5.1570985525046185</v>
      </c>
      <c r="T66" s="8">
        <f>(J66*'Results '!B$37)+(Staffing!L66*'Results '!C$37)+(Staffing!N66*'Results '!D$37)</f>
        <v>10002.313403980494</v>
      </c>
      <c r="U66" s="8">
        <f>Q66*'Results '!E$37</f>
        <v>2550.2787408954587</v>
      </c>
      <c r="V66" s="9">
        <f>R66*'Results '!F$37</f>
        <v>488.39515939274065</v>
      </c>
    </row>
    <row r="67" spans="1:22" s="19" customFormat="1" x14ac:dyDescent="0.2">
      <c r="A67" s="15">
        <f t="shared" si="49"/>
        <v>60</v>
      </c>
      <c r="B67" s="8">
        <f>'earned premium'!BK$2</f>
        <v>1189646.0120300951</v>
      </c>
      <c r="C67" s="17">
        <f t="shared" si="50"/>
        <v>14024126.362666499</v>
      </c>
      <c r="D67" s="5">
        <f t="shared" si="27"/>
        <v>33.310088336842661</v>
      </c>
      <c r="E67" s="5">
        <f t="shared" si="51"/>
        <v>1667.1834227499814</v>
      </c>
      <c r="F67" s="5">
        <f t="shared" si="52"/>
        <v>376.05319350230729</v>
      </c>
      <c r="G67" s="18">
        <f t="shared" si="29"/>
        <v>31.964521447696121</v>
      </c>
      <c r="H67" s="5">
        <f t="shared" si="53"/>
        <v>1323.0947506953703</v>
      </c>
      <c r="I67" s="13">
        <f t="shared" si="28"/>
        <v>0.73698570445264389</v>
      </c>
      <c r="J67" s="20">
        <f t="shared" si="42"/>
        <v>0.73698570445264389</v>
      </c>
      <c r="K67" s="10">
        <f>((F67-D67)*'Results '!K$30)/P$3</f>
        <v>1.9061789618048537</v>
      </c>
      <c r="L67" s="20">
        <f t="shared" si="43"/>
        <v>1.9061789618048537</v>
      </c>
      <c r="M67" s="10">
        <f>((F67-D67)*'Results '!K$31)/P$5</f>
        <v>0.6337320014509441</v>
      </c>
      <c r="N67" s="20">
        <f t="shared" si="44"/>
        <v>0.6337320014509441</v>
      </c>
      <c r="O67" s="13">
        <f t="shared" si="45"/>
        <v>3.2768966677084417</v>
      </c>
      <c r="P67" s="24">
        <f t="shared" si="46"/>
        <v>3.2768966677084417</v>
      </c>
      <c r="Q67" s="3">
        <f t="shared" si="47"/>
        <v>1.6384483338542208</v>
      </c>
      <c r="R67" s="33">
        <f>'Med Only'!I62</f>
        <v>0.26132832552275009</v>
      </c>
      <c r="S67" s="64">
        <f t="shared" si="48"/>
        <v>5.1766733270854122</v>
      </c>
      <c r="T67" s="8">
        <f>(J67*'Results '!B$37)+(Staffing!L67*'Results '!C$37)+(Staffing!N67*'Results '!D$37)</f>
        <v>10040.536316870672</v>
      </c>
      <c r="U67" s="8">
        <f>Q67*'Results '!E$37</f>
        <v>2560.0328537218593</v>
      </c>
      <c r="V67" s="9">
        <f>R67*'Results '!F$37</f>
        <v>489.98244384498383</v>
      </c>
    </row>
    <row r="68" spans="1:22" x14ac:dyDescent="0.2">
      <c r="G68" s="34"/>
      <c r="H68" s="34"/>
      <c r="J68" s="70">
        <f>SUM(J8:J67)</f>
        <v>36.886433228343343</v>
      </c>
      <c r="L68" s="70">
        <f>SUM(L8:L67)</f>
        <v>77.296702165850917</v>
      </c>
      <c r="N68" s="70">
        <f>SUM(N8:N67)</f>
        <v>25.698213415775356</v>
      </c>
      <c r="Q68" s="34">
        <f>SUM(Q8:Q67)</f>
        <v>72.443303207810317</v>
      </c>
      <c r="R68" s="71">
        <f>SUM(R8:R67)</f>
        <v>12.546500808819262</v>
      </c>
      <c r="S68" s="19"/>
      <c r="T68" s="9"/>
      <c r="U68" s="9"/>
      <c r="V68" s="9"/>
    </row>
  </sheetData>
  <phoneticPr fontId="0" type="noConversion"/>
  <printOptions gridLines="1" gridLinesSet="0"/>
  <pageMargins left="0.75" right="0.75" top="1" bottom="1" header="0.5" footer="0.5"/>
  <pageSetup paperSize="5" scale="73" fitToHeight="2" orientation="landscape" horizontalDpi="300" r:id="rId1"/>
  <headerFooter alignWithMargins="0">
    <oddHeader>&amp;A</oddHeader>
    <oddFoote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opLeftCell="H1" workbookViewId="0">
      <selection activeCell="O18" sqref="O18"/>
    </sheetView>
  </sheetViews>
  <sheetFormatPr defaultRowHeight="12.75" x14ac:dyDescent="0.2"/>
  <cols>
    <col min="2" max="2" width="16.28515625" customWidth="1"/>
    <col min="3" max="3" width="14.140625" customWidth="1"/>
    <col min="4" max="4" width="14.7109375" customWidth="1"/>
    <col min="5" max="5" width="13.85546875" customWidth="1"/>
    <col min="6" max="6" width="15" customWidth="1"/>
    <col min="7" max="7" width="14" customWidth="1"/>
    <col min="8" max="9" width="14.7109375" customWidth="1"/>
    <col min="10" max="10" width="14.28515625" customWidth="1"/>
  </cols>
  <sheetData>
    <row r="1" spans="1:11" x14ac:dyDescent="0.2">
      <c r="B1" s="8"/>
    </row>
    <row r="2" spans="1:11" ht="13.5" thickBot="1" x14ac:dyDescent="0.25">
      <c r="B2" s="8"/>
      <c r="D2" s="19" t="s">
        <v>186</v>
      </c>
      <c r="E2" s="19"/>
      <c r="F2" s="19" t="s">
        <v>187</v>
      </c>
      <c r="G2" s="51" t="s">
        <v>74</v>
      </c>
      <c r="H2" s="51"/>
      <c r="I2" t="s">
        <v>188</v>
      </c>
    </row>
    <row r="3" spans="1:11" ht="13.5" thickBot="1" x14ac:dyDescent="0.25">
      <c r="B3" s="8"/>
      <c r="F3" s="6">
        <f>'Results '!K28</f>
        <v>0.22</v>
      </c>
      <c r="G3" s="52">
        <f>'Results '!K29</f>
        <v>0.5</v>
      </c>
      <c r="H3" s="15"/>
      <c r="I3" s="65">
        <v>0.03</v>
      </c>
    </row>
    <row r="4" spans="1:11" s="19" customFormat="1" ht="28.15" customHeight="1" x14ac:dyDescent="0.2">
      <c r="A4" s="19" t="s">
        <v>189</v>
      </c>
      <c r="B4" s="15" t="s">
        <v>180</v>
      </c>
      <c r="C4" s="15" t="s">
        <v>184</v>
      </c>
      <c r="D4" s="15" t="s">
        <v>185</v>
      </c>
      <c r="E4" s="49" t="s">
        <v>190</v>
      </c>
      <c r="F4" s="49" t="s">
        <v>105</v>
      </c>
      <c r="G4" s="49" t="s">
        <v>106</v>
      </c>
      <c r="H4" s="49" t="s">
        <v>191</v>
      </c>
      <c r="I4" s="49" t="s">
        <v>192</v>
      </c>
      <c r="J4" s="49" t="s">
        <v>193</v>
      </c>
      <c r="K4" s="19" t="s">
        <v>194</v>
      </c>
    </row>
    <row r="5" spans="1:11" x14ac:dyDescent="0.2">
      <c r="A5" s="6">
        <v>1</v>
      </c>
      <c r="B5" s="8">
        <f>Staffing!T8</f>
        <v>156.84802139966345</v>
      </c>
      <c r="C5" s="8">
        <f>Staffing!U8</f>
        <v>781.23697916666663</v>
      </c>
      <c r="D5" s="8">
        <f>Staffing!V8</f>
        <v>6.8358235677083332</v>
      </c>
      <c r="E5" s="9">
        <f t="shared" ref="E5:E36" si="0">B5+C5+D5</f>
        <v>944.92082413403841</v>
      </c>
      <c r="F5" s="9">
        <f>E5*'Results '!K$28</f>
        <v>207.88258130948844</v>
      </c>
      <c r="G5" s="8">
        <f t="shared" ref="G5:G36" si="1">E5*G$3</f>
        <v>472.46041206701921</v>
      </c>
      <c r="H5" s="8">
        <f>G5+F5+E5</f>
        <v>1625.263817510546</v>
      </c>
      <c r="I5" s="8">
        <f>Staffing!B8*'Adjuster Cost'!I$3</f>
        <v>2499.9999999999995</v>
      </c>
      <c r="J5" s="9">
        <f t="shared" ref="J5:J36" si="2">I5-G5</f>
        <v>2027.5395879329803</v>
      </c>
      <c r="K5" s="4">
        <f t="shared" ref="K5:K36" si="3">J5/I5</f>
        <v>0.81101583517319231</v>
      </c>
    </row>
    <row r="6" spans="1:11" x14ac:dyDescent="0.2">
      <c r="A6" s="6">
        <f>A5+1</f>
        <v>2</v>
      </c>
      <c r="B6" s="8">
        <f>Staffing!T9</f>
        <v>371.37323347996693</v>
      </c>
      <c r="C6" s="8">
        <f>Staffing!U9</f>
        <v>781.23697916666663</v>
      </c>
      <c r="D6" s="8">
        <f>Staffing!V9</f>
        <v>22.853867142740885</v>
      </c>
      <c r="E6" s="9">
        <f t="shared" si="0"/>
        <v>1175.4640797893744</v>
      </c>
      <c r="F6" s="9">
        <f>E6*'Results '!K$28</f>
        <v>258.60209755366236</v>
      </c>
      <c r="G6" s="8">
        <f t="shared" si="1"/>
        <v>587.7320398946872</v>
      </c>
      <c r="H6" s="8">
        <f t="shared" ref="H6:H21" si="4">G6+F6+E6</f>
        <v>2021.798217237724</v>
      </c>
      <c r="I6" s="8">
        <f>Staffing!B9*'Adjuster Cost'!I$3</f>
        <v>5008.125</v>
      </c>
      <c r="J6" s="9">
        <f t="shared" si="2"/>
        <v>4420.3929601053133</v>
      </c>
      <c r="K6" s="4">
        <f t="shared" si="3"/>
        <v>0.88264429504162001</v>
      </c>
    </row>
    <row r="7" spans="1:11" x14ac:dyDescent="0.2">
      <c r="A7" s="6">
        <f t="shared" ref="A7:A22" si="5">A6+1</f>
        <v>3</v>
      </c>
      <c r="B7" s="8">
        <f>Staffing!T10</f>
        <v>626.20490497927267</v>
      </c>
      <c r="C7" s="8">
        <f>Staffing!U10</f>
        <v>781.23697916666663</v>
      </c>
      <c r="D7" s="8">
        <f>Staffing!V10</f>
        <v>45.061171758480832</v>
      </c>
      <c r="E7" s="9">
        <f t="shared" si="0"/>
        <v>1452.5030559044201</v>
      </c>
      <c r="F7" s="9">
        <f>E7*'Results '!K$28</f>
        <v>319.55067229897242</v>
      </c>
      <c r="G7" s="8">
        <f t="shared" si="1"/>
        <v>726.25152795221004</v>
      </c>
      <c r="H7" s="8">
        <f t="shared" si="4"/>
        <v>2498.3052561556024</v>
      </c>
      <c r="I7" s="8">
        <f>Staffing!B10*'Adjuster Cost'!I$3</f>
        <v>7524.4014062499991</v>
      </c>
      <c r="J7" s="9">
        <f t="shared" si="2"/>
        <v>6798.1498782977887</v>
      </c>
      <c r="K7" s="4">
        <f t="shared" si="3"/>
        <v>0.90348049117249862</v>
      </c>
    </row>
    <row r="8" spans="1:11" x14ac:dyDescent="0.2">
      <c r="A8" s="6">
        <f t="shared" si="5"/>
        <v>4</v>
      </c>
      <c r="B8" s="8">
        <f>Staffing!T11</f>
        <v>922.21739468257215</v>
      </c>
      <c r="C8" s="8">
        <f>Staffing!U11</f>
        <v>781.23697916666663</v>
      </c>
      <c r="D8" s="8">
        <f>Staffing!V11</f>
        <v>71.452575721611268</v>
      </c>
      <c r="E8" s="9">
        <f t="shared" si="0"/>
        <v>1774.9069495708502</v>
      </c>
      <c r="F8" s="9">
        <f>E8*'Results '!K$28</f>
        <v>390.47952890558707</v>
      </c>
      <c r="G8" s="8">
        <f t="shared" si="1"/>
        <v>887.4534747854251</v>
      </c>
      <c r="H8" s="8">
        <f t="shared" si="4"/>
        <v>3052.8399532618623</v>
      </c>
      <c r="I8" s="8">
        <f>Staffing!B11*'Adjuster Cost'!I$3</f>
        <v>10048.855710820311</v>
      </c>
      <c r="J8" s="9">
        <f t="shared" si="2"/>
        <v>9161.4022360348863</v>
      </c>
      <c r="K8" s="4">
        <f t="shared" si="3"/>
        <v>0.91168611627791196</v>
      </c>
    </row>
    <row r="9" spans="1:11" x14ac:dyDescent="0.2">
      <c r="A9" s="6">
        <f t="shared" si="5"/>
        <v>5</v>
      </c>
      <c r="B9" s="8">
        <f>Staffing!T12</f>
        <v>1256.1145679509409</v>
      </c>
      <c r="C9" s="8">
        <f>Staffing!U12</f>
        <v>781.23697916666663</v>
      </c>
      <c r="D9" s="8">
        <f>Staffing!V12</f>
        <v>100.6847419045727</v>
      </c>
      <c r="E9" s="9">
        <f t="shared" si="0"/>
        <v>2138.03628902218</v>
      </c>
      <c r="F9" s="9">
        <f>E9*'Results '!K$28</f>
        <v>470.3679835848796</v>
      </c>
      <c r="G9" s="8">
        <f t="shared" si="1"/>
        <v>1069.01814451109</v>
      </c>
      <c r="H9" s="8">
        <f t="shared" si="4"/>
        <v>3677.4224171181495</v>
      </c>
      <c r="I9" s="8">
        <f>Staffing!B12*'Adjuster Cost'!I$3</f>
        <v>12581.514491880478</v>
      </c>
      <c r="J9" s="9">
        <f t="shared" si="2"/>
        <v>11512.496347369388</v>
      </c>
      <c r="K9" s="4">
        <f t="shared" si="3"/>
        <v>0.9150326341712689</v>
      </c>
    </row>
    <row r="10" spans="1:11" x14ac:dyDescent="0.2">
      <c r="A10" s="6">
        <f t="shared" si="5"/>
        <v>6</v>
      </c>
      <c r="B10" s="8">
        <f>Staffing!T13</f>
        <v>1624.8811253532147</v>
      </c>
      <c r="C10" s="8">
        <f>Staffing!U13</f>
        <v>781.23697916666663</v>
      </c>
      <c r="D10" s="8">
        <f>Staffing!V13</f>
        <v>131.85775603278586</v>
      </c>
      <c r="E10" s="9">
        <f t="shared" si="0"/>
        <v>2537.9758605526672</v>
      </c>
      <c r="F10" s="9">
        <f>E10*'Results '!K$28</f>
        <v>558.35468932158676</v>
      </c>
      <c r="G10" s="8">
        <f t="shared" si="1"/>
        <v>1268.9879302763336</v>
      </c>
      <c r="H10" s="8">
        <f t="shared" si="4"/>
        <v>4365.3184801505877</v>
      </c>
      <c r="I10" s="8">
        <f>Staffing!B13*'Adjuster Cost'!I$3</f>
        <v>15122.404413979088</v>
      </c>
      <c r="J10" s="9">
        <f t="shared" si="2"/>
        <v>13853.416483702755</v>
      </c>
      <c r="K10" s="4">
        <f t="shared" si="3"/>
        <v>0.91608557108132316</v>
      </c>
    </row>
    <row r="11" spans="1:11" x14ac:dyDescent="0.2">
      <c r="A11" s="6">
        <f t="shared" si="5"/>
        <v>7</v>
      </c>
      <c r="B11" s="8">
        <f>Staffing!T14</f>
        <v>2025.7587338305625</v>
      </c>
      <c r="C11" s="8">
        <f>Staffing!U14</f>
        <v>781.23697916666663</v>
      </c>
      <c r="D11" s="8">
        <f>Staffing!V14</f>
        <v>164.3687975383709</v>
      </c>
      <c r="E11" s="9">
        <f t="shared" si="0"/>
        <v>2971.3645105355999</v>
      </c>
      <c r="F11" s="9">
        <f>E11*'Results '!K$28</f>
        <v>653.70019231783203</v>
      </c>
      <c r="G11" s="8">
        <f t="shared" si="1"/>
        <v>1485.6822552678</v>
      </c>
      <c r="H11" s="8">
        <f t="shared" si="4"/>
        <v>5110.7469581212317</v>
      </c>
      <c r="I11" s="8">
        <f>Staffing!B14*'Adjuster Cost'!I$3</f>
        <v>17671.552228324523</v>
      </c>
      <c r="J11" s="9">
        <f t="shared" si="2"/>
        <v>16185.869973056722</v>
      </c>
      <c r="K11" s="4">
        <f t="shared" si="3"/>
        <v>0.91592802737008572</v>
      </c>
    </row>
    <row r="12" spans="1:11" x14ac:dyDescent="0.2">
      <c r="A12" s="6">
        <f t="shared" si="5"/>
        <v>8</v>
      </c>
      <c r="B12" s="8">
        <f>Staffing!T15</f>
        <v>2456.2241867190787</v>
      </c>
      <c r="C12" s="8">
        <f>Staffing!U15</f>
        <v>781.23697916666663</v>
      </c>
      <c r="D12" s="8">
        <f>Staffing!V15</f>
        <v>197.8140990334241</v>
      </c>
      <c r="E12" s="9">
        <f t="shared" si="0"/>
        <v>3435.2752649191693</v>
      </c>
      <c r="F12" s="9">
        <f>E12*'Results '!K$28</f>
        <v>755.76055828221729</v>
      </c>
      <c r="G12" s="8">
        <f t="shared" si="1"/>
        <v>1717.6376324595847</v>
      </c>
      <c r="H12" s="8">
        <f t="shared" si="4"/>
        <v>5908.6734556609717</v>
      </c>
      <c r="I12" s="8">
        <f>Staffing!B15*'Adjuster Cost'!I$3</f>
        <v>20228.984773066575</v>
      </c>
      <c r="J12" s="9">
        <f t="shared" si="2"/>
        <v>18511.347140606991</v>
      </c>
      <c r="K12" s="4">
        <f t="shared" si="3"/>
        <v>0.91509027013819821</v>
      </c>
    </row>
    <row r="13" spans="1:11" x14ac:dyDescent="0.2">
      <c r="A13" s="6">
        <f t="shared" si="5"/>
        <v>9</v>
      </c>
      <c r="B13" s="8">
        <f>Staffing!T16</f>
        <v>2913.9694201774937</v>
      </c>
      <c r="C13" s="8">
        <f>Staffing!U16</f>
        <v>781.23697916666663</v>
      </c>
      <c r="D13" s="8">
        <f>Staffing!V16</f>
        <v>231.92325915840149</v>
      </c>
      <c r="E13" s="9">
        <f t="shared" si="0"/>
        <v>3927.1296585025616</v>
      </c>
      <c r="F13" s="9">
        <f>E13*'Results '!K$28</f>
        <v>863.96852487056356</v>
      </c>
      <c r="G13" s="8">
        <f t="shared" si="1"/>
        <v>1963.5648292512808</v>
      </c>
      <c r="H13" s="8">
        <f t="shared" si="4"/>
        <v>6754.6630126244054</v>
      </c>
      <c r="I13" s="8">
        <f>Staffing!B16*'Adjuster Cost'!I$3</f>
        <v>22794.72897357904</v>
      </c>
      <c r="J13" s="9">
        <f t="shared" si="2"/>
        <v>20831.164144327759</v>
      </c>
      <c r="K13" s="4">
        <f t="shared" si="3"/>
        <v>0.91385882097886695</v>
      </c>
    </row>
    <row r="14" spans="1:11" x14ac:dyDescent="0.2">
      <c r="A14" s="6">
        <f t="shared" si="5"/>
        <v>10</v>
      </c>
      <c r="B14" s="8">
        <f>Staffing!T17</f>
        <v>3396.8832282255771</v>
      </c>
      <c r="C14" s="8">
        <f>Staffing!U17</f>
        <v>860.56987237728049</v>
      </c>
      <c r="D14" s="8">
        <f>Staffing!V17</f>
        <v>266.51523219182883</v>
      </c>
      <c r="E14" s="9">
        <f t="shared" si="0"/>
        <v>4523.9683327946859</v>
      </c>
      <c r="F14" s="9">
        <f>E14*'Results '!K$28</f>
        <v>995.27303321483089</v>
      </c>
      <c r="G14" s="8">
        <f t="shared" si="1"/>
        <v>2261.984166397343</v>
      </c>
      <c r="H14" s="8">
        <f t="shared" si="4"/>
        <v>7781.2255324068592</v>
      </c>
      <c r="I14" s="8">
        <f>Staffing!B17*'Adjuster Cost'!I$3</f>
        <v>25368.811842743169</v>
      </c>
      <c r="J14" s="9">
        <f t="shared" si="2"/>
        <v>23106.827676345827</v>
      </c>
      <c r="K14" s="4">
        <f t="shared" si="3"/>
        <v>0.91083602257689533</v>
      </c>
    </row>
    <row r="15" spans="1:11" x14ac:dyDescent="0.2">
      <c r="A15" s="6">
        <f t="shared" si="5"/>
        <v>11</v>
      </c>
      <c r="B15" s="8">
        <f>Staffing!T18</f>
        <v>3903.0345320113661</v>
      </c>
      <c r="C15" s="8">
        <f>Staffing!U18</f>
        <v>989.2971545869508</v>
      </c>
      <c r="D15" s="8">
        <f>Staffing!V18</f>
        <v>301.46884109010404</v>
      </c>
      <c r="E15" s="9">
        <f t="shared" si="0"/>
        <v>5193.8005276884214</v>
      </c>
      <c r="F15" s="9">
        <f>E15*'Results '!K$28</f>
        <v>1142.6361160914528</v>
      </c>
      <c r="G15" s="8">
        <f t="shared" si="1"/>
        <v>2596.9002638442107</v>
      </c>
      <c r="H15" s="8">
        <f t="shared" si="4"/>
        <v>8933.3369076240851</v>
      </c>
      <c r="I15" s="8">
        <f>Staffing!B18*'Adjuster Cost'!I$3</f>
        <v>27951.260481232082</v>
      </c>
      <c r="J15" s="9">
        <f t="shared" si="2"/>
        <v>25354.360217387872</v>
      </c>
      <c r="K15" s="4">
        <f t="shared" si="3"/>
        <v>0.90709183703583229</v>
      </c>
    </row>
    <row r="16" spans="1:11" s="19" customFormat="1" x14ac:dyDescent="0.2">
      <c r="A16" s="15">
        <f t="shared" si="5"/>
        <v>12</v>
      </c>
      <c r="B16" s="16">
        <f>Staffing!T19</f>
        <v>4430.6570711977793</v>
      </c>
      <c r="C16" s="16">
        <f>Staffing!U19</f>
        <v>1123.5272199878407</v>
      </c>
      <c r="D16" s="16">
        <f>Staffing!V19</f>
        <v>336.70302122546644</v>
      </c>
      <c r="E16" s="17">
        <f t="shared" si="0"/>
        <v>5890.8873124110869</v>
      </c>
      <c r="F16" s="17">
        <f>E16*'Results '!K$28</f>
        <v>1295.9952087304391</v>
      </c>
      <c r="G16" s="16">
        <f t="shared" si="1"/>
        <v>2945.4436562055434</v>
      </c>
      <c r="H16" s="16">
        <f t="shared" si="4"/>
        <v>10132.326177347069</v>
      </c>
      <c r="I16" s="16">
        <f>Staffing!B19*'Adjuster Cost'!I$3</f>
        <v>30542.102077796088</v>
      </c>
      <c r="J16" s="17">
        <f t="shared" si="2"/>
        <v>27596.658421590546</v>
      </c>
      <c r="K16" s="57">
        <f t="shared" si="3"/>
        <v>0.90356120057804201</v>
      </c>
    </row>
    <row r="17" spans="1:11" x14ac:dyDescent="0.2">
      <c r="A17" s="6">
        <f t="shared" si="5"/>
        <v>13</v>
      </c>
      <c r="B17" s="8">
        <f>Staffing!T20</f>
        <v>4816.8099603905666</v>
      </c>
      <c r="C17" s="8">
        <f>Staffing!U20</f>
        <v>1222.5144179162983</v>
      </c>
      <c r="D17" s="8">
        <f>Staffing!V20</f>
        <v>365.32776012403298</v>
      </c>
      <c r="E17" s="9">
        <f t="shared" si="0"/>
        <v>6404.652138430898</v>
      </c>
      <c r="F17" s="9">
        <f>E17*'Results '!K$28</f>
        <v>1409.0234704547977</v>
      </c>
      <c r="G17" s="8">
        <f t="shared" si="1"/>
        <v>3202.326069215449</v>
      </c>
      <c r="H17" s="8">
        <f t="shared" si="4"/>
        <v>11016.001678101144</v>
      </c>
      <c r="I17" s="8">
        <f>Staffing!B20*'Adjuster Cost'!I$3</f>
        <v>30641.363909548923</v>
      </c>
      <c r="J17" s="9">
        <f t="shared" si="2"/>
        <v>27439.037840333476</v>
      </c>
      <c r="K17" s="4">
        <f t="shared" si="3"/>
        <v>0.89549009376121502</v>
      </c>
    </row>
    <row r="18" spans="1:11" x14ac:dyDescent="0.2">
      <c r="A18" s="6">
        <f t="shared" si="5"/>
        <v>14</v>
      </c>
      <c r="B18" s="8">
        <f>Staffing!T21</f>
        <v>5172.6188199077633</v>
      </c>
      <c r="C18" s="8">
        <f>Staffing!U21</f>
        <v>1313.7197868086264</v>
      </c>
      <c r="D18" s="8">
        <f>Staffing!V21</f>
        <v>384.96047957775716</v>
      </c>
      <c r="E18" s="9">
        <f t="shared" si="0"/>
        <v>6871.2990862941469</v>
      </c>
      <c r="F18" s="9">
        <f>E18*'Results '!K$28</f>
        <v>1511.6857989847124</v>
      </c>
      <c r="G18" s="8">
        <f t="shared" si="1"/>
        <v>3435.6495431470735</v>
      </c>
      <c r="H18" s="8">
        <f t="shared" si="4"/>
        <v>11818.634428425932</v>
      </c>
      <c r="I18" s="8">
        <f>Staffing!B21*'Adjuster Cost'!I$3</f>
        <v>30740.94834225496</v>
      </c>
      <c r="J18" s="9">
        <f t="shared" si="2"/>
        <v>27305.298799107888</v>
      </c>
      <c r="K18" s="4">
        <f t="shared" si="3"/>
        <v>0.88823866118584893</v>
      </c>
    </row>
    <row r="19" spans="1:11" x14ac:dyDescent="0.2">
      <c r="A19" s="6">
        <f t="shared" si="5"/>
        <v>15</v>
      </c>
      <c r="B19" s="8">
        <f>Staffing!T22</f>
        <v>5500.6709489109862</v>
      </c>
      <c r="C19" s="8">
        <f>Staffing!U22</f>
        <v>1397.8068364019557</v>
      </c>
      <c r="D19" s="8">
        <f>Staffing!V22</f>
        <v>398.57002197270992</v>
      </c>
      <c r="E19" s="9">
        <f t="shared" si="0"/>
        <v>7297.0478072856513</v>
      </c>
      <c r="F19" s="9">
        <f>E19*'Results '!K$28</f>
        <v>1605.3505176028432</v>
      </c>
      <c r="G19" s="8">
        <f t="shared" si="1"/>
        <v>3648.5239036428256</v>
      </c>
      <c r="H19" s="8">
        <f t="shared" si="4"/>
        <v>12550.922228531319</v>
      </c>
      <c r="I19" s="8">
        <f>Staffing!B22*'Adjuster Cost'!I$3</f>
        <v>30840.856424367288</v>
      </c>
      <c r="J19" s="9">
        <f t="shared" si="2"/>
        <v>27192.332520724463</v>
      </c>
      <c r="K19" s="4">
        <f t="shared" si="3"/>
        <v>0.88169835968756904</v>
      </c>
    </row>
    <row r="20" spans="1:11" x14ac:dyDescent="0.2">
      <c r="A20" s="6">
        <f t="shared" si="5"/>
        <v>16</v>
      </c>
      <c r="B20" s="8">
        <f>Staffing!T23</f>
        <v>5803.3337523171949</v>
      </c>
      <c r="C20" s="8">
        <f>Staffing!U23</f>
        <v>1475.3826847821365</v>
      </c>
      <c r="D20" s="8">
        <f>Staffing!V23</f>
        <v>408.14551650445912</v>
      </c>
      <c r="E20" s="9">
        <f t="shared" si="0"/>
        <v>7686.8619536037904</v>
      </c>
      <c r="F20" s="9">
        <f>E20*'Results '!K$28</f>
        <v>1691.1096297928339</v>
      </c>
      <c r="G20" s="8">
        <f t="shared" si="1"/>
        <v>3843.4309768018952</v>
      </c>
      <c r="H20" s="8">
        <f t="shared" si="4"/>
        <v>13221.402560198519</v>
      </c>
      <c r="I20" s="8">
        <f>Staffing!B23*'Adjuster Cost'!I$3</f>
        <v>30941.089207746481</v>
      </c>
      <c r="J20" s="9">
        <f t="shared" si="2"/>
        <v>27097.658230944588</v>
      </c>
      <c r="K20" s="4">
        <f t="shared" si="3"/>
        <v>0.8757822987097803</v>
      </c>
    </row>
    <row r="21" spans="1:11" x14ac:dyDescent="0.2">
      <c r="A21" s="6">
        <f t="shared" si="5"/>
        <v>17</v>
      </c>
      <c r="B21" s="8">
        <f>Staffing!T24</f>
        <v>6082.7734318945822</v>
      </c>
      <c r="C21" s="8">
        <f>Staffing!U24</f>
        <v>1547.0028516957934</v>
      </c>
      <c r="D21" s="8">
        <f>Staffing!V24</f>
        <v>415.01968454652496</v>
      </c>
      <c r="E21" s="9">
        <f t="shared" si="0"/>
        <v>8044.7959681369011</v>
      </c>
      <c r="F21" s="9">
        <f>E21*'Results '!K$28</f>
        <v>1769.8551129901182</v>
      </c>
      <c r="G21" s="8">
        <f t="shared" si="1"/>
        <v>4022.3979840684506</v>
      </c>
      <c r="H21" s="8">
        <f t="shared" si="4"/>
        <v>13837.04906519547</v>
      </c>
      <c r="I21" s="8">
        <f>Staffing!B24*'Adjuster Cost'!I$3</f>
        <v>31041.647747671665</v>
      </c>
      <c r="J21" s="9">
        <f t="shared" si="2"/>
        <v>27019.249763603213</v>
      </c>
      <c r="K21" s="4">
        <f t="shared" si="3"/>
        <v>0.87041931482615453</v>
      </c>
    </row>
    <row r="22" spans="1:11" x14ac:dyDescent="0.2">
      <c r="A22" s="6">
        <f t="shared" si="5"/>
        <v>18</v>
      </c>
      <c r="B22" s="8">
        <f>Staffing!T25</f>
        <v>6340.9720886155965</v>
      </c>
      <c r="C22" s="8">
        <f>Staffing!U25</f>
        <v>1613.1756444309299</v>
      </c>
      <c r="D22" s="8">
        <f>Staffing!V25</f>
        <v>420.08545424729692</v>
      </c>
      <c r="E22" s="9">
        <f t="shared" si="0"/>
        <v>8374.233187293823</v>
      </c>
      <c r="F22" s="9">
        <f>E22*'Results '!K$28</f>
        <v>1842.331301204641</v>
      </c>
      <c r="G22" s="8">
        <f t="shared" si="1"/>
        <v>4187.1165936469115</v>
      </c>
      <c r="H22" s="8">
        <f t="shared" ref="H22:H37" si="6">G22+F22+E22</f>
        <v>14403.681082145376</v>
      </c>
      <c r="I22" s="8">
        <f>Staffing!B25*'Adjuster Cost'!I$3</f>
        <v>31142.533102851587</v>
      </c>
      <c r="J22" s="9">
        <f t="shared" si="2"/>
        <v>26955.416509204675</v>
      </c>
      <c r="K22" s="4">
        <f t="shared" si="3"/>
        <v>0.86554990309174573</v>
      </c>
    </row>
    <row r="23" spans="1:11" x14ac:dyDescent="0.2">
      <c r="A23" s="6">
        <f t="shared" ref="A23:A38" si="7">A22+1</f>
        <v>19</v>
      </c>
      <c r="B23" s="8">
        <f>Staffing!T26</f>
        <v>6579.7433713102273</v>
      </c>
      <c r="C23" s="8">
        <f>Staffing!U26</f>
        <v>1674.36617089775</v>
      </c>
      <c r="D23" s="8">
        <f>Staffing!V26</f>
        <v>423.94109231001767</v>
      </c>
      <c r="E23" s="9">
        <f t="shared" si="0"/>
        <v>8678.0506345179965</v>
      </c>
      <c r="F23" s="9">
        <f>E23*'Results '!K$28</f>
        <v>1909.1711395939592</v>
      </c>
      <c r="G23" s="8">
        <f t="shared" si="1"/>
        <v>4339.0253172589983</v>
      </c>
      <c r="H23" s="8">
        <f t="shared" si="6"/>
        <v>14926.247091370955</v>
      </c>
      <c r="I23" s="8">
        <f>Staffing!B26*'Adjuster Cost'!I$3</f>
        <v>31243.746335435855</v>
      </c>
      <c r="J23" s="9">
        <f t="shared" si="2"/>
        <v>26904.721018176857</v>
      </c>
      <c r="K23" s="4">
        <f t="shared" si="3"/>
        <v>0.86112339824184958</v>
      </c>
    </row>
    <row r="24" spans="1:11" x14ac:dyDescent="0.2">
      <c r="A24" s="6">
        <f t="shared" si="7"/>
        <v>20</v>
      </c>
      <c r="B24" s="8">
        <f>Staffing!T27</f>
        <v>6800.7467951840545</v>
      </c>
      <c r="C24" s="8">
        <f>Staffing!U27</f>
        <v>1731.0000115976818</v>
      </c>
      <c r="D24" s="8">
        <f>Staffing!V27</f>
        <v>426.98744228542466</v>
      </c>
      <c r="E24" s="9">
        <f t="shared" si="0"/>
        <v>8958.7342490671599</v>
      </c>
      <c r="F24" s="9">
        <f>E24*'Results '!K$28</f>
        <v>1970.9215347947752</v>
      </c>
      <c r="G24" s="8">
        <f t="shared" si="1"/>
        <v>4479.36712453358</v>
      </c>
      <c r="H24" s="8">
        <f t="shared" si="6"/>
        <v>15409.022908395515</v>
      </c>
      <c r="I24" s="8">
        <f>Staffing!B27*'Adjuster Cost'!I$3</f>
        <v>31345.288511026021</v>
      </c>
      <c r="J24" s="9">
        <f t="shared" si="2"/>
        <v>26865.921386492442</v>
      </c>
      <c r="K24" s="4">
        <f t="shared" si="3"/>
        <v>0.8570959995165488</v>
      </c>
    </row>
    <row r="25" spans="1:11" x14ac:dyDescent="0.2">
      <c r="A25" s="6">
        <f t="shared" si="7"/>
        <v>21</v>
      </c>
      <c r="B25" s="8">
        <f>Staffing!T28</f>
        <v>7005.5008432625191</v>
      </c>
      <c r="C25" s="8">
        <f>Staffing!U28</f>
        <v>1783.4665794751045</v>
      </c>
      <c r="D25" s="8">
        <f>Staffing!V28</f>
        <v>429.4930742278699</v>
      </c>
      <c r="E25" s="9">
        <f t="shared" si="0"/>
        <v>9218.4604969654938</v>
      </c>
      <c r="F25" s="9">
        <f>E25*'Results '!K$28</f>
        <v>2028.0613093324087</v>
      </c>
      <c r="G25" s="8">
        <f t="shared" si="1"/>
        <v>4609.2302484827469</v>
      </c>
      <c r="H25" s="8">
        <f t="shared" si="6"/>
        <v>15855.752054780649</v>
      </c>
      <c r="I25" s="8">
        <f>Staffing!B28*'Adjuster Cost'!I$3</f>
        <v>31447.160698686854</v>
      </c>
      <c r="J25" s="9">
        <f t="shared" si="2"/>
        <v>26837.930450204105</v>
      </c>
      <c r="K25" s="4">
        <f t="shared" si="3"/>
        <v>0.85342936703741212</v>
      </c>
    </row>
    <row r="26" spans="1:11" x14ac:dyDescent="0.2">
      <c r="A26" s="6">
        <f t="shared" si="7"/>
        <v>22</v>
      </c>
      <c r="B26" s="8">
        <f>Staffing!T29</f>
        <v>7195.3949542127393</v>
      </c>
      <c r="C26" s="8">
        <f>Staffing!U29</f>
        <v>1832.1221941817516</v>
      </c>
      <c r="D26" s="8">
        <f>Staffing!V29</f>
        <v>431.6379349649722</v>
      </c>
      <c r="E26" s="9">
        <f t="shared" si="0"/>
        <v>9459.1550833594629</v>
      </c>
      <c r="F26" s="9">
        <f>E26*'Results '!K$28</f>
        <v>2081.014118339082</v>
      </c>
      <c r="G26" s="8">
        <f t="shared" si="1"/>
        <v>4729.5775416797314</v>
      </c>
      <c r="H26" s="8">
        <f t="shared" si="6"/>
        <v>16269.746743378277</v>
      </c>
      <c r="I26" s="8">
        <f>Staffing!B29*'Adjuster Cost'!I$3</f>
        <v>31549.36397095758</v>
      </c>
      <c r="J26" s="9">
        <f t="shared" si="2"/>
        <v>26819.786429277847</v>
      </c>
      <c r="K26" s="4">
        <f t="shared" si="3"/>
        <v>0.85008960732034111</v>
      </c>
    </row>
    <row r="27" spans="1:11" x14ac:dyDescent="0.2">
      <c r="A27" s="6">
        <f t="shared" si="7"/>
        <v>23</v>
      </c>
      <c r="B27" s="8">
        <f>Staffing!T30</f>
        <v>7371.7004912007287</v>
      </c>
      <c r="C27" s="8">
        <f>Staffing!U30</f>
        <v>1877.2928950287101</v>
      </c>
      <c r="D27" s="8">
        <f>Staffing!V30</f>
        <v>433.54259377833586</v>
      </c>
      <c r="E27" s="9">
        <f t="shared" si="0"/>
        <v>9682.5359800077749</v>
      </c>
      <c r="F27" s="9">
        <f>E27*'Results '!K$28</f>
        <v>2130.1579156017106</v>
      </c>
      <c r="G27" s="8">
        <f t="shared" si="1"/>
        <v>4841.2679900038875</v>
      </c>
      <c r="H27" s="8">
        <f t="shared" si="6"/>
        <v>16653.961885613375</v>
      </c>
      <c r="I27" s="8">
        <f>Staffing!B30*'Adjuster Cost'!I$3</f>
        <v>31651.899403863194</v>
      </c>
      <c r="J27" s="9">
        <f t="shared" si="2"/>
        <v>26810.631413859308</v>
      </c>
      <c r="K27" s="4">
        <f t="shared" si="3"/>
        <v>0.84704652544760084</v>
      </c>
    </row>
    <row r="28" spans="1:11" s="19" customFormat="1" x14ac:dyDescent="0.2">
      <c r="A28" s="15">
        <f t="shared" si="7"/>
        <v>24</v>
      </c>
      <c r="B28" s="16">
        <f>Staffing!T31</f>
        <v>7535.5807783960554</v>
      </c>
      <c r="C28" s="16">
        <f>Staffing!U31</f>
        <v>1919.277014837573</v>
      </c>
      <c r="D28" s="16">
        <f>Staffing!V31</f>
        <v>435.28783700968285</v>
      </c>
      <c r="E28" s="17">
        <f t="shared" si="0"/>
        <v>9890.1456302433107</v>
      </c>
      <c r="F28" s="17">
        <f>E28*'Results '!K$28</f>
        <v>2175.8320386535283</v>
      </c>
      <c r="G28" s="16">
        <f t="shared" si="1"/>
        <v>4945.0728151216554</v>
      </c>
      <c r="H28" s="16">
        <f t="shared" si="6"/>
        <v>17011.050484018495</v>
      </c>
      <c r="I28" s="16">
        <f>Staffing!B31*'Adjuster Cost'!I$3</f>
        <v>31754.768076925753</v>
      </c>
      <c r="J28" s="17">
        <f t="shared" si="2"/>
        <v>26809.695261804096</v>
      </c>
      <c r="K28" s="57">
        <f t="shared" si="3"/>
        <v>0.84427306150867654</v>
      </c>
    </row>
    <row r="29" spans="1:11" x14ac:dyDescent="0.2">
      <c r="A29" s="6">
        <f t="shared" si="7"/>
        <v>25</v>
      </c>
      <c r="B29" s="8">
        <f>Staffing!T32</f>
        <v>7688.1002843738552</v>
      </c>
      <c r="C29" s="8">
        <f>Staffing!U32</f>
        <v>1958.3475350143131</v>
      </c>
      <c r="D29" s="8">
        <f>Staffing!V32</f>
        <v>436.92779644701443</v>
      </c>
      <c r="E29" s="9">
        <f t="shared" si="0"/>
        <v>10083.375615835183</v>
      </c>
      <c r="F29" s="9">
        <f>E29*'Results '!K$28</f>
        <v>2218.3426354837402</v>
      </c>
      <c r="G29" s="8">
        <f t="shared" si="1"/>
        <v>5041.6878079175913</v>
      </c>
      <c r="H29" s="8">
        <f t="shared" si="6"/>
        <v>17343.406059236513</v>
      </c>
      <c r="I29" s="8">
        <f>Staffing!B32*'Adjuster Cost'!I$3</f>
        <v>31857.971073175762</v>
      </c>
      <c r="J29" s="9">
        <f t="shared" si="2"/>
        <v>26816.283265258171</v>
      </c>
      <c r="K29" s="4">
        <f t="shared" si="3"/>
        <v>0.84174485574309954</v>
      </c>
    </row>
    <row r="30" spans="1:11" x14ac:dyDescent="0.2">
      <c r="A30" s="6">
        <f t="shared" si="7"/>
        <v>26</v>
      </c>
      <c r="B30" s="8">
        <f>Staffing!T33</f>
        <v>7830.2330249280003</v>
      </c>
      <c r="C30" s="8">
        <f>Staffing!U33</f>
        <v>1994.7542404419528</v>
      </c>
      <c r="D30" s="8">
        <f>Staffing!V33</f>
        <v>438.49874534339068</v>
      </c>
      <c r="E30" s="9">
        <f t="shared" si="0"/>
        <v>10263.486010713345</v>
      </c>
      <c r="F30" s="9">
        <f>E30*'Results '!K$28</f>
        <v>2257.9669223569358</v>
      </c>
      <c r="G30" s="8">
        <f t="shared" si="1"/>
        <v>5131.7430053566723</v>
      </c>
      <c r="H30" s="8">
        <f t="shared" si="6"/>
        <v>17653.19593842695</v>
      </c>
      <c r="I30" s="8">
        <f>Staffing!B33*'Adjuster Cost'!I$3</f>
        <v>31961.509479163578</v>
      </c>
      <c r="J30" s="9">
        <f t="shared" si="2"/>
        <v>26829.766473806907</v>
      </c>
      <c r="K30" s="4">
        <f t="shared" si="3"/>
        <v>0.83943990477977359</v>
      </c>
    </row>
    <row r="31" spans="1:11" x14ac:dyDescent="0.2">
      <c r="A31" s="6">
        <f t="shared" si="7"/>
        <v>27</v>
      </c>
      <c r="B31" s="8">
        <f>Staffing!T34</f>
        <v>7962.8702516454068</v>
      </c>
      <c r="C31" s="8">
        <f>Staffing!U34</f>
        <v>2028.7256912074315</v>
      </c>
      <c r="D31" s="8">
        <f>Staffing!V34</f>
        <v>440.02499174956557</v>
      </c>
      <c r="E31" s="9">
        <f t="shared" si="0"/>
        <v>10431.620934602404</v>
      </c>
      <c r="F31" s="9">
        <f>E31*'Results '!K$28</f>
        <v>2294.9566056125291</v>
      </c>
      <c r="G31" s="8">
        <f t="shared" si="1"/>
        <v>5215.8104673012022</v>
      </c>
      <c r="H31" s="8">
        <f t="shared" si="6"/>
        <v>17942.388007516136</v>
      </c>
      <c r="I31" s="8">
        <f>Staffing!B34*'Adjuster Cost'!I$3</f>
        <v>32065.384384970857</v>
      </c>
      <c r="J31" s="9">
        <f t="shared" si="2"/>
        <v>26849.573917669655</v>
      </c>
      <c r="K31" s="4">
        <f t="shared" si="3"/>
        <v>0.83733828340614347</v>
      </c>
    </row>
    <row r="32" spans="1:11" x14ac:dyDescent="0.2">
      <c r="A32" s="6">
        <f t="shared" si="7"/>
        <v>28</v>
      </c>
      <c r="B32" s="8">
        <f>Staffing!T35</f>
        <v>8086.8274869518</v>
      </c>
      <c r="C32" s="8">
        <f>Staffing!U35</f>
        <v>2060.4710267317541</v>
      </c>
      <c r="D32" s="8">
        <f>Staffing!V35</f>
        <v>441.52282704690361</v>
      </c>
      <c r="E32" s="9">
        <f t="shared" si="0"/>
        <v>10588.821340730457</v>
      </c>
      <c r="F32" s="9">
        <f>E32*'Results '!K$28</f>
        <v>2329.5406949607009</v>
      </c>
      <c r="G32" s="8">
        <f t="shared" si="1"/>
        <v>5294.4106703652287</v>
      </c>
      <c r="H32" s="8">
        <f t="shared" si="6"/>
        <v>18212.772706056385</v>
      </c>
      <c r="I32" s="8">
        <f>Staffing!B35*'Adjuster Cost'!I$3</f>
        <v>32169.59688422201</v>
      </c>
      <c r="J32" s="9">
        <f t="shared" si="2"/>
        <v>26875.186213856781</v>
      </c>
      <c r="K32" s="4">
        <f t="shared" si="3"/>
        <v>0.83542191438022217</v>
      </c>
    </row>
    <row r="33" spans="1:11" x14ac:dyDescent="0.2">
      <c r="A33" s="6">
        <f t="shared" si="7"/>
        <v>29</v>
      </c>
      <c r="B33" s="8">
        <f>Staffing!T36</f>
        <v>8202.8509611789141</v>
      </c>
      <c r="C33" s="8">
        <f>Staffing!U36</f>
        <v>2090.18161654916</v>
      </c>
      <c r="D33" s="8">
        <f>Staffing!V36</f>
        <v>443.00317146448771</v>
      </c>
      <c r="E33" s="9">
        <f t="shared" si="0"/>
        <v>10736.035749192562</v>
      </c>
      <c r="F33" s="9">
        <f>E33*'Results '!K$28</f>
        <v>2361.927864822364</v>
      </c>
      <c r="G33" s="8">
        <f t="shared" si="1"/>
        <v>5368.0178745962812</v>
      </c>
      <c r="H33" s="8">
        <f t="shared" si="6"/>
        <v>18465.981488611207</v>
      </c>
      <c r="I33" s="8">
        <f>Staffing!B36*'Adjuster Cost'!I$3</f>
        <v>32274.148074095738</v>
      </c>
      <c r="J33" s="9">
        <f t="shared" si="2"/>
        <v>26906.130199499457</v>
      </c>
      <c r="K33" s="4">
        <f t="shared" si="3"/>
        <v>0.83367437423066104</v>
      </c>
    </row>
    <row r="34" spans="1:11" x14ac:dyDescent="0.2">
      <c r="A34" s="6">
        <f t="shared" si="7"/>
        <v>30</v>
      </c>
      <c r="B34" s="8">
        <f>Staffing!T37</f>
        <v>8311.6235024812268</v>
      </c>
      <c r="C34" s="8">
        <f>Staffing!U37</f>
        <v>2118.0325707701263</v>
      </c>
      <c r="D34" s="8">
        <f>Staffing!V37</f>
        <v>444.47334657563414</v>
      </c>
      <c r="E34" s="9">
        <f t="shared" si="0"/>
        <v>10874.129419826988</v>
      </c>
      <c r="F34" s="9">
        <f>E34*'Results '!K$28</f>
        <v>2392.3084723619372</v>
      </c>
      <c r="G34" s="8">
        <f t="shared" si="1"/>
        <v>5437.064709913494</v>
      </c>
      <c r="H34" s="8">
        <f t="shared" si="6"/>
        <v>18703.502602102417</v>
      </c>
      <c r="I34" s="8">
        <f>Staffing!B37*'Adjuster Cost'!I$3</f>
        <v>32379.039055336543</v>
      </c>
      <c r="J34" s="9">
        <f t="shared" si="2"/>
        <v>26941.974345423048</v>
      </c>
      <c r="K34" s="4">
        <f t="shared" si="3"/>
        <v>0.83208072665092303</v>
      </c>
    </row>
    <row r="35" spans="1:11" x14ac:dyDescent="0.2">
      <c r="A35" s="6">
        <f t="shared" si="7"/>
        <v>31</v>
      </c>
      <c r="B35" s="8">
        <f>Staffing!T38</f>
        <v>8413.7699261101061</v>
      </c>
      <c r="C35" s="8">
        <f>Staffing!U38</f>
        <v>2144.1841221551012</v>
      </c>
      <c r="D35" s="8">
        <f>Staffing!V38</f>
        <v>445.93826287060898</v>
      </c>
      <c r="E35" s="9">
        <f t="shared" si="0"/>
        <v>11003.892311135818</v>
      </c>
      <c r="F35" s="9">
        <f>E35*'Results '!K$28</f>
        <v>2420.8563084498801</v>
      </c>
      <c r="G35" s="8">
        <f t="shared" si="1"/>
        <v>5501.946155567909</v>
      </c>
      <c r="H35" s="8">
        <f t="shared" si="6"/>
        <v>18926.694775153606</v>
      </c>
      <c r="I35" s="8">
        <f>Staffing!B38*'Adjuster Cost'!I$3</f>
        <v>32484.270932266387</v>
      </c>
      <c r="J35" s="9">
        <f t="shared" si="2"/>
        <v>26982.324776698479</v>
      </c>
      <c r="K35" s="4">
        <f t="shared" si="3"/>
        <v>0.83062737756866611</v>
      </c>
    </row>
    <row r="36" spans="1:11" x14ac:dyDescent="0.2">
      <c r="A36" s="6">
        <f t="shared" si="7"/>
        <v>32</v>
      </c>
      <c r="B36" s="8">
        <f>Staffing!T39</f>
        <v>8509.8619655998809</v>
      </c>
      <c r="C36" s="8">
        <f>Staffing!U39</f>
        <v>2168.7828907120293</v>
      </c>
      <c r="D36" s="8">
        <f>Staffing!V39</f>
        <v>447.40121543040323</v>
      </c>
      <c r="E36" s="9">
        <f t="shared" si="0"/>
        <v>11126.046071742314</v>
      </c>
      <c r="F36" s="9">
        <f>E36*'Results '!K$28</f>
        <v>2447.7301357833089</v>
      </c>
      <c r="G36" s="8">
        <f t="shared" si="1"/>
        <v>5563.0230358711569</v>
      </c>
      <c r="H36" s="8">
        <f t="shared" si="6"/>
        <v>19136.799243396781</v>
      </c>
      <c r="I36" s="8">
        <f>Staffing!B39*'Adjuster Cost'!I$3</f>
        <v>32589.844812796251</v>
      </c>
      <c r="J36" s="9">
        <f t="shared" si="2"/>
        <v>27026.821776925095</v>
      </c>
      <c r="K36" s="4">
        <f t="shared" si="3"/>
        <v>0.8293019476518998</v>
      </c>
    </row>
    <row r="37" spans="1:11" x14ac:dyDescent="0.2">
      <c r="A37" s="6">
        <f t="shared" si="7"/>
        <v>33</v>
      </c>
      <c r="B37" s="8">
        <f>Staffing!T40</f>
        <v>8600.422784803457</v>
      </c>
      <c r="C37" s="8">
        <f>Staffing!U40</f>
        <v>2191.9630408031744</v>
      </c>
      <c r="D37" s="8">
        <f>Staffing!V40</f>
        <v>448.86441702821344</v>
      </c>
      <c r="E37" s="9">
        <f t="shared" ref="E37:E52" si="8">B37+C37+D37</f>
        <v>11241.250242634844</v>
      </c>
      <c r="F37" s="9">
        <f>E37*'Results '!K$28</f>
        <v>2473.0750533796659</v>
      </c>
      <c r="G37" s="8">
        <f t="shared" ref="G37:G64" si="9">E37*G$3</f>
        <v>5620.6251213174219</v>
      </c>
      <c r="H37" s="8">
        <f t="shared" si="6"/>
        <v>19334.950417331929</v>
      </c>
      <c r="I37" s="8">
        <f>Staffing!B40*'Adjuster Cost'!I$3</f>
        <v>32695.761808437841</v>
      </c>
      <c r="J37" s="9">
        <f t="shared" ref="J37:J64" si="10">I37-G37</f>
        <v>27075.136687120419</v>
      </c>
      <c r="K37" s="4">
        <f t="shared" ref="K37:K64" si="11">J37/I37</f>
        <v>0.82809315916086412</v>
      </c>
    </row>
    <row r="38" spans="1:11" x14ac:dyDescent="0.2">
      <c r="A38" s="6">
        <f t="shared" si="7"/>
        <v>34</v>
      </c>
      <c r="B38" s="8">
        <f>Staffing!T41</f>
        <v>8685.9311064051399</v>
      </c>
      <c r="C38" s="8">
        <f>Staffing!U41</f>
        <v>2213.8473398979277</v>
      </c>
      <c r="D38" s="8">
        <f>Staffing!V41</f>
        <v>450.32935530748824</v>
      </c>
      <c r="E38" s="9">
        <f t="shared" si="8"/>
        <v>11350.107801610557</v>
      </c>
      <c r="F38" s="9">
        <f>E38*'Results '!K$28</f>
        <v>2497.0237163543225</v>
      </c>
      <c r="G38" s="8">
        <f t="shared" si="9"/>
        <v>5675.0539008052783</v>
      </c>
      <c r="H38" s="8">
        <f t="shared" ref="H38:H53" si="12">G38+F38+E38</f>
        <v>19522.185418770157</v>
      </c>
      <c r="I38" s="8">
        <f>Staffing!B41*'Adjuster Cost'!I$3</f>
        <v>32802.023034315265</v>
      </c>
      <c r="J38" s="9">
        <f t="shared" si="10"/>
        <v>27126.969133509985</v>
      </c>
      <c r="K38" s="4">
        <f t="shared" si="11"/>
        <v>0.82699073484374974</v>
      </c>
    </row>
    <row r="39" spans="1:11" x14ac:dyDescent="0.2">
      <c r="A39" s="6">
        <f t="shared" ref="A39:A54" si="13">A38+1</f>
        <v>35</v>
      </c>
      <c r="B39" s="8">
        <f>Staffing!T42</f>
        <v>8766.8249895101835</v>
      </c>
      <c r="C39" s="8">
        <f>Staffing!U42</f>
        <v>2234.5481273317059</v>
      </c>
      <c r="D39" s="8">
        <f>Staffing!V42</f>
        <v>451.7970320912728</v>
      </c>
      <c r="E39" s="9">
        <f t="shared" si="8"/>
        <v>11453.170148933163</v>
      </c>
      <c r="F39" s="9">
        <f>E39*'Results '!K$28</f>
        <v>2519.6974327652956</v>
      </c>
      <c r="G39" s="8">
        <f t="shared" si="9"/>
        <v>5726.5850744665813</v>
      </c>
      <c r="H39" s="8">
        <f t="shared" si="12"/>
        <v>19699.452656165042</v>
      </c>
      <c r="I39" s="8">
        <f>Staffing!B42*'Adjuster Cost'!I$3</f>
        <v>32908.62960917678</v>
      </c>
      <c r="J39" s="9">
        <f t="shared" si="10"/>
        <v>27182.0445347102</v>
      </c>
      <c r="K39" s="4">
        <f t="shared" si="11"/>
        <v>0.82598530712230911</v>
      </c>
    </row>
    <row r="40" spans="1:11" s="19" customFormat="1" x14ac:dyDescent="0.2">
      <c r="A40" s="15">
        <f t="shared" si="13"/>
        <v>36</v>
      </c>
      <c r="B40" s="16">
        <f>Staffing!T43</f>
        <v>8843.5052861395343</v>
      </c>
      <c r="C40" s="16">
        <f>Staffing!U43</f>
        <v>2254.1682007204195</v>
      </c>
      <c r="D40" s="16">
        <f>Staffing!V43</f>
        <v>453.26812371952303</v>
      </c>
      <c r="E40" s="17">
        <f t="shared" si="8"/>
        <v>11550.941610579477</v>
      </c>
      <c r="F40" s="17">
        <f>E40*'Results '!K$28</f>
        <v>2541.2071543274851</v>
      </c>
      <c r="G40" s="16">
        <f t="shared" si="9"/>
        <v>5775.4708052897386</v>
      </c>
      <c r="H40" s="16">
        <f t="shared" si="12"/>
        <v>19867.619570196701</v>
      </c>
      <c r="I40" s="16">
        <f>Staffing!B43*'Adjuster Cost'!I$3</f>
        <v>33015.582655406608</v>
      </c>
      <c r="J40" s="17">
        <f t="shared" si="10"/>
        <v>27240.111850116868</v>
      </c>
      <c r="K40" s="57">
        <f t="shared" si="11"/>
        <v>0.82506833619839348</v>
      </c>
    </row>
    <row r="41" spans="1:11" x14ac:dyDescent="0.2">
      <c r="A41" s="6">
        <f t="shared" si="13"/>
        <v>37</v>
      </c>
      <c r="B41" s="8">
        <f>Staffing!T44</f>
        <v>8916.3388039227866</v>
      </c>
      <c r="C41" s="8">
        <f>Staffing!U44</f>
        <v>2272.8016270297812</v>
      </c>
      <c r="D41" s="8">
        <f>Staffing!V44</f>
        <v>454.74308847516033</v>
      </c>
      <c r="E41" s="9">
        <f t="shared" si="8"/>
        <v>11643.883519427729</v>
      </c>
      <c r="F41" s="9">
        <f>E41*'Results '!K$28</f>
        <v>2561.6543742741005</v>
      </c>
      <c r="G41" s="8">
        <f t="shared" si="9"/>
        <v>5821.9417597138645</v>
      </c>
      <c r="H41" s="8">
        <f t="shared" si="12"/>
        <v>20027.479653415692</v>
      </c>
      <c r="I41" s="8">
        <f>Staffing!B44*'Adjuster Cost'!I$3</f>
        <v>33122.883299036679</v>
      </c>
      <c r="J41" s="9">
        <f t="shared" si="10"/>
        <v>27300.941539322816</v>
      </c>
      <c r="K41" s="4">
        <f t="shared" si="11"/>
        <v>0.82423203598694006</v>
      </c>
    </row>
    <row r="42" spans="1:11" x14ac:dyDescent="0.2">
      <c r="A42" s="6">
        <f t="shared" si="13"/>
        <v>38</v>
      </c>
      <c r="B42" s="8">
        <f>Staffing!T45</f>
        <v>8985.6611999625566</v>
      </c>
      <c r="C42" s="8">
        <f>Staffing!U45</f>
        <v>2290.5344847038018</v>
      </c>
      <c r="D42" s="8">
        <f>Staffing!V45</f>
        <v>456.22223855958237</v>
      </c>
      <c r="E42" s="9">
        <f t="shared" si="8"/>
        <v>11732.417923225941</v>
      </c>
      <c r="F42" s="9">
        <f>E42*'Results '!K$28</f>
        <v>2581.1319431097072</v>
      </c>
      <c r="G42" s="8">
        <f t="shared" si="9"/>
        <v>5866.2089616129706</v>
      </c>
      <c r="H42" s="8">
        <f t="shared" si="12"/>
        <v>20179.758827948619</v>
      </c>
      <c r="I42" s="8">
        <f>Staffing!B45*'Adjuster Cost'!I$3</f>
        <v>33230.532669758548</v>
      </c>
      <c r="J42" s="9">
        <f t="shared" si="10"/>
        <v>27364.323708145577</v>
      </c>
      <c r="K42" s="4">
        <f t="shared" si="11"/>
        <v>0.82346930698009801</v>
      </c>
    </row>
    <row r="43" spans="1:11" x14ac:dyDescent="0.2">
      <c r="A43" s="6">
        <f t="shared" si="13"/>
        <v>39</v>
      </c>
      <c r="B43" s="8">
        <f>Staffing!T46</f>
        <v>9051.7796287206565</v>
      </c>
      <c r="C43" s="8">
        <f>Staffing!U46</f>
        <v>2307.4455427124376</v>
      </c>
      <c r="D43" s="8">
        <f>Staffing!V46</f>
        <v>457.70578831630905</v>
      </c>
      <c r="E43" s="9">
        <f t="shared" si="8"/>
        <v>11816.930959749403</v>
      </c>
      <c r="F43" s="9">
        <f>E43*'Results '!K$28</f>
        <v>2599.7248111448685</v>
      </c>
      <c r="G43" s="8">
        <f t="shared" si="9"/>
        <v>5908.4654798747015</v>
      </c>
      <c r="H43" s="8">
        <f t="shared" si="12"/>
        <v>20325.121250768971</v>
      </c>
      <c r="I43" s="8">
        <f>Staffing!B46*'Adjuster Cost'!I$3</f>
        <v>33338.531900935261</v>
      </c>
      <c r="J43" s="9">
        <f t="shared" si="10"/>
        <v>27430.066421060561</v>
      </c>
      <c r="K43" s="4">
        <f t="shared" si="11"/>
        <v>0.82277367529465362</v>
      </c>
    </row>
    <row r="44" spans="1:11" x14ac:dyDescent="0.2">
      <c r="A44" s="6">
        <f t="shared" si="13"/>
        <v>40</v>
      </c>
      <c r="B44" s="8">
        <f>Staffing!T47</f>
        <v>9114.9751648342717</v>
      </c>
      <c r="C44" s="8">
        <f>Staffing!U47</f>
        <v>2323.6068818802673</v>
      </c>
      <c r="D44" s="8">
        <f>Staffing!V47</f>
        <v>459.19388654088044</v>
      </c>
      <c r="E44" s="9">
        <f t="shared" si="8"/>
        <v>11897.77593325542</v>
      </c>
      <c r="F44" s="9">
        <f>E44*'Results '!K$28</f>
        <v>2617.5107053161923</v>
      </c>
      <c r="G44" s="8">
        <f t="shared" si="9"/>
        <v>5948.8879666277098</v>
      </c>
      <c r="H44" s="8">
        <f t="shared" si="12"/>
        <v>20464.174605199321</v>
      </c>
      <c r="I44" s="8">
        <f>Staffing!B47*'Adjuster Cost'!I$3</f>
        <v>33446.882129613303</v>
      </c>
      <c r="J44" s="9">
        <f t="shared" si="10"/>
        <v>27497.994162985593</v>
      </c>
      <c r="K44" s="4">
        <f t="shared" si="11"/>
        <v>0.82213923726658322</v>
      </c>
    </row>
    <row r="45" spans="1:11" x14ac:dyDescent="0.2">
      <c r="A45" s="6">
        <f t="shared" si="13"/>
        <v>41</v>
      </c>
      <c r="B45" s="8">
        <f>Staffing!T48</f>
        <v>9175.5050199930356</v>
      </c>
      <c r="C45" s="8">
        <f>Staffing!U48</f>
        <v>2339.0844634023019</v>
      </c>
      <c r="D45" s="8">
        <f>Staffing!V48</f>
        <v>460.68663812854243</v>
      </c>
      <c r="E45" s="9">
        <f t="shared" si="8"/>
        <v>11975.276121523879</v>
      </c>
      <c r="F45" s="9">
        <f>E45*'Results '!K$28</f>
        <v>2634.5607467352534</v>
      </c>
      <c r="G45" s="8">
        <f t="shared" si="9"/>
        <v>5987.6380607619394</v>
      </c>
      <c r="H45" s="8">
        <f t="shared" si="12"/>
        <v>20597.474929021071</v>
      </c>
      <c r="I45" s="8">
        <f>Staffing!B48*'Adjuster Cost'!I$3</f>
        <v>33555.584496534546</v>
      </c>
      <c r="J45" s="9">
        <f t="shared" si="10"/>
        <v>27567.946435772606</v>
      </c>
      <c r="K45" s="4">
        <f t="shared" si="11"/>
        <v>0.82156060904317396</v>
      </c>
    </row>
    <row r="46" spans="1:11" x14ac:dyDescent="0.2">
      <c r="A46" s="6">
        <f t="shared" si="13"/>
        <v>42</v>
      </c>
      <c r="B46" s="8">
        <f>Staffing!T49</f>
        <v>9233.604571381853</v>
      </c>
      <c r="C46" s="8">
        <f>Staffing!U49</f>
        <v>2353.938649036028</v>
      </c>
      <c r="D46" s="8">
        <f>Staffing!V49</f>
        <v>462.18411857825095</v>
      </c>
      <c r="E46" s="9">
        <f t="shared" si="8"/>
        <v>12049.727338996132</v>
      </c>
      <c r="F46" s="9">
        <f>E46*'Results '!K$28</f>
        <v>2650.9400145791492</v>
      </c>
      <c r="G46" s="8">
        <f t="shared" si="9"/>
        <v>6024.863669498066</v>
      </c>
      <c r="H46" s="8">
        <f t="shared" si="12"/>
        <v>20725.531023073345</v>
      </c>
      <c r="I46" s="8">
        <f>Staffing!B49*'Adjuster Cost'!I$3</f>
        <v>33664.640146148275</v>
      </c>
      <c r="J46" s="9">
        <f t="shared" si="10"/>
        <v>27639.776476650208</v>
      </c>
      <c r="K46" s="4">
        <f t="shared" si="11"/>
        <v>0.82103288069195657</v>
      </c>
    </row>
    <row r="47" spans="1:11" x14ac:dyDescent="0.2">
      <c r="A47" s="6">
        <f t="shared" si="13"/>
        <v>43</v>
      </c>
      <c r="B47" s="8">
        <f>Staffing!T50</f>
        <v>9289.4892177064103</v>
      </c>
      <c r="C47" s="8">
        <f>Staffing!U50</f>
        <v>2368.2246770772131</v>
      </c>
      <c r="D47" s="8">
        <f>Staffing!V50</f>
        <v>463.68638371041004</v>
      </c>
      <c r="E47" s="9">
        <f t="shared" si="8"/>
        <v>12121.400278494033</v>
      </c>
      <c r="F47" s="9">
        <f>E47*'Results '!K$28</f>
        <v>2666.7080612686873</v>
      </c>
      <c r="G47" s="8">
        <f t="shared" si="9"/>
        <v>6060.7001392470165</v>
      </c>
      <c r="H47" s="8">
        <f t="shared" si="12"/>
        <v>20848.808479009735</v>
      </c>
      <c r="I47" s="8">
        <f>Staffing!B50*'Adjuster Cost'!I$3</f>
        <v>33774.050226623258</v>
      </c>
      <c r="J47" s="9">
        <f t="shared" si="10"/>
        <v>27713.350087376242</v>
      </c>
      <c r="K47" s="4">
        <f t="shared" si="11"/>
        <v>0.82055157440165372</v>
      </c>
    </row>
    <row r="48" spans="1:11" x14ac:dyDescent="0.2">
      <c r="A48" s="6">
        <f t="shared" si="13"/>
        <v>44</v>
      </c>
      <c r="B48" s="8">
        <f>Staffing!T51</f>
        <v>9343.3560774567795</v>
      </c>
      <c r="C48" s="8">
        <f>Staffing!U51</f>
        <v>2381.9930978778275</v>
      </c>
      <c r="D48" s="8">
        <f>Staffing!V51</f>
        <v>465.19347617781131</v>
      </c>
      <c r="E48" s="9">
        <f t="shared" si="8"/>
        <v>12190.542651512418</v>
      </c>
      <c r="F48" s="9">
        <f>E48*'Results '!K$28</f>
        <v>2681.9193833327322</v>
      </c>
      <c r="G48" s="8">
        <f t="shared" si="9"/>
        <v>6095.2713257562091</v>
      </c>
      <c r="H48" s="8">
        <f t="shared" si="12"/>
        <v>20967.73336060136</v>
      </c>
      <c r="I48" s="8">
        <f>Staffing!B51*'Adjuster Cost'!I$3</f>
        <v>33883.815889859783</v>
      </c>
      <c r="J48" s="9">
        <f t="shared" si="10"/>
        <v>27788.544564103573</v>
      </c>
      <c r="K48" s="4">
        <f t="shared" si="11"/>
        <v>0.82011260639684014</v>
      </c>
    </row>
    <row r="49" spans="1:12" x14ac:dyDescent="0.2">
      <c r="A49" s="6">
        <f t="shared" si="13"/>
        <v>45</v>
      </c>
      <c r="B49" s="8">
        <f>Staffing!T52</f>
        <v>9395.3855428189472</v>
      </c>
      <c r="C49" s="8">
        <f>Staffing!U52</f>
        <v>2395.2901723450345</v>
      </c>
      <c r="D49" s="8">
        <f>Staffing!V52</f>
        <v>466.70542982801862</v>
      </c>
      <c r="E49" s="9">
        <f t="shared" si="8"/>
        <v>12257.381144991999</v>
      </c>
      <c r="F49" s="9">
        <f>E49*'Results '!K$28</f>
        <v>2696.62385189824</v>
      </c>
      <c r="G49" s="8">
        <f t="shared" si="9"/>
        <v>6128.6905724959997</v>
      </c>
      <c r="H49" s="8">
        <f t="shared" si="12"/>
        <v>21082.69556938624</v>
      </c>
      <c r="I49" s="8">
        <f>Staffing!B52*'Adjuster Cost'!I$3</f>
        <v>33993.938291501821</v>
      </c>
      <c r="J49" s="9">
        <f t="shared" si="10"/>
        <v>27865.24771900582</v>
      </c>
      <c r="K49" s="4">
        <f t="shared" si="11"/>
        <v>0.81971225222738842</v>
      </c>
    </row>
    <row r="50" spans="1:12" x14ac:dyDescent="0.2">
      <c r="A50" s="6">
        <f t="shared" si="13"/>
        <v>46</v>
      </c>
      <c r="B50" s="8">
        <f>Staffing!T53</f>
        <v>9445.742701504154</v>
      </c>
      <c r="C50" s="8">
        <f>Staffing!U53</f>
        <v>2408.1582365678364</v>
      </c>
      <c r="D50" s="8">
        <f>Staffing!V53</f>
        <v>468.22227262622141</v>
      </c>
      <c r="E50" s="9">
        <f t="shared" si="8"/>
        <v>12322.123210698212</v>
      </c>
      <c r="F50" s="9">
        <f>E50*'Results '!K$28</f>
        <v>2710.8671063536067</v>
      </c>
      <c r="G50" s="8">
        <f t="shared" si="9"/>
        <v>6161.0616053491058</v>
      </c>
      <c r="H50" s="8">
        <f t="shared" si="12"/>
        <v>21194.051922400926</v>
      </c>
      <c r="I50" s="8">
        <f>Staffing!B53*'Adjuster Cost'!I$3</f>
        <v>34104.418590949208</v>
      </c>
      <c r="J50" s="9">
        <f t="shared" si="10"/>
        <v>27943.356985600101</v>
      </c>
      <c r="K50" s="4">
        <f t="shared" si="11"/>
        <v>0.81934711512765213</v>
      </c>
    </row>
    <row r="51" spans="1:12" x14ac:dyDescent="0.2">
      <c r="A51" s="6">
        <f t="shared" si="13"/>
        <v>47</v>
      </c>
      <c r="B51" s="8">
        <f>Staffing!T54</f>
        <v>9494.5786377230506</v>
      </c>
      <c r="C51" s="8">
        <f>Staffing!U54</f>
        <v>2420.6360354505341</v>
      </c>
      <c r="D51" s="8">
        <f>Staffing!V54</f>
        <v>469.74402861360193</v>
      </c>
      <c r="E51" s="9">
        <f t="shared" si="8"/>
        <v>12384.958701787187</v>
      </c>
      <c r="F51" s="9">
        <f>E51*'Results '!K$28</f>
        <v>2724.6909143931812</v>
      </c>
      <c r="G51" s="8">
        <f t="shared" si="9"/>
        <v>6192.4793508935936</v>
      </c>
      <c r="H51" s="8">
        <f t="shared" si="12"/>
        <v>21302.128967073964</v>
      </c>
      <c r="I51" s="8">
        <f>Staffing!B54*'Adjuster Cost'!I$3</f>
        <v>34215.257951369793</v>
      </c>
      <c r="J51" s="9">
        <f t="shared" si="10"/>
        <v>28022.778600476198</v>
      </c>
      <c r="K51" s="4">
        <f t="shared" si="11"/>
        <v>0.81901409716989493</v>
      </c>
    </row>
    <row r="52" spans="1:12" s="19" customFormat="1" x14ac:dyDescent="0.2">
      <c r="A52" s="15">
        <f t="shared" si="13"/>
        <v>48</v>
      </c>
      <c r="B52" s="16">
        <f>Staffing!T55</f>
        <v>9542.0316225773404</v>
      </c>
      <c r="C52" s="16">
        <f>Staffing!U55</f>
        <v>2432.7590279874221</v>
      </c>
      <c r="D52" s="16">
        <f>Staffing!V55</f>
        <v>471.27071921949761</v>
      </c>
      <c r="E52" s="17">
        <f t="shared" si="8"/>
        <v>12446.06136978426</v>
      </c>
      <c r="F52" s="17">
        <f>E52*'Results '!K$28</f>
        <v>2738.1335013525372</v>
      </c>
      <c r="G52" s="16">
        <f t="shared" si="9"/>
        <v>6223.03068489213</v>
      </c>
      <c r="H52" s="16">
        <f t="shared" si="12"/>
        <v>21407.225556028927</v>
      </c>
      <c r="I52" s="16">
        <f>Staffing!B55*'Adjuster Cost'!I$3</f>
        <v>34326.457539711744</v>
      </c>
      <c r="J52" s="17">
        <f t="shared" si="10"/>
        <v>28103.426854819612</v>
      </c>
      <c r="K52" s="57">
        <f t="shared" si="11"/>
        <v>0.81871037296252303</v>
      </c>
    </row>
    <row r="53" spans="1:12" x14ac:dyDescent="0.2">
      <c r="A53" s="6">
        <f t="shared" si="13"/>
        <v>49</v>
      </c>
      <c r="B53" s="8">
        <f>Staffing!T56</f>
        <v>9588.2282032684652</v>
      </c>
      <c r="C53" s="8">
        <f>Staffing!U56</f>
        <v>2444.559666589214</v>
      </c>
      <c r="D53" s="8">
        <f>Staffing!V56</f>
        <v>472.80236414060494</v>
      </c>
      <c r="E53" s="9">
        <f t="shared" ref="E53:E64" si="14">B53+C53+D53</f>
        <v>12505.590233998284</v>
      </c>
      <c r="F53" s="9">
        <f>E53*'Results '!K$28</f>
        <v>2751.2298514796225</v>
      </c>
      <c r="G53" s="8">
        <f t="shared" si="9"/>
        <v>6252.795116999142</v>
      </c>
      <c r="H53" s="8">
        <f t="shared" si="12"/>
        <v>21509.615202477049</v>
      </c>
      <c r="I53" s="8">
        <f>Staffing!B56*'Adjuster Cost'!I$3</f>
        <v>34438.018526715809</v>
      </c>
      <c r="J53" s="9">
        <f t="shared" si="10"/>
        <v>28185.223409716666</v>
      </c>
      <c r="K53" s="4">
        <f t="shared" si="11"/>
        <v>0.81843336566683</v>
      </c>
    </row>
    <row r="54" spans="1:12" x14ac:dyDescent="0.2">
      <c r="A54" s="6">
        <f t="shared" si="13"/>
        <v>50</v>
      </c>
      <c r="B54" s="8">
        <f>Staffing!T57</f>
        <v>9633.2841997238247</v>
      </c>
      <c r="C54" s="8">
        <f>Staffing!U57</f>
        <v>2456.0676526667903</v>
      </c>
      <c r="D54" s="8">
        <f>Staffing!V57</f>
        <v>474.33898193010333</v>
      </c>
      <c r="E54" s="9">
        <f t="shared" si="14"/>
        <v>12563.690834320718</v>
      </c>
      <c r="F54" s="9">
        <f>E54*'Results '!K$28</f>
        <v>2764.0119835505579</v>
      </c>
      <c r="G54" s="8">
        <f t="shared" si="9"/>
        <v>6281.8454171603589</v>
      </c>
      <c r="H54" s="8">
        <f t="shared" ref="H54:H64" si="15">G54+F54+E54</f>
        <v>21609.548235031634</v>
      </c>
      <c r="I54" s="8">
        <f>Staffing!B57*'Adjuster Cost'!I$3</f>
        <v>34549.942086927636</v>
      </c>
      <c r="J54" s="9">
        <f t="shared" si="10"/>
        <v>28268.096669767277</v>
      </c>
      <c r="K54" s="4">
        <f t="shared" si="11"/>
        <v>0.81818072512668072</v>
      </c>
    </row>
    <row r="55" spans="1:12" x14ac:dyDescent="0.2">
      <c r="A55" s="6">
        <f t="shared" ref="A55:A64" si="16">A54+1</f>
        <v>51</v>
      </c>
      <c r="B55" s="8">
        <f>Staffing!T58</f>
        <v>9677.3056165101079</v>
      </c>
      <c r="C55" s="8">
        <f>Staffing!U58</f>
        <v>2467.3101704904188</v>
      </c>
      <c r="D55" s="8">
        <f>Staffing!V58</f>
        <v>475.88059039242387</v>
      </c>
      <c r="E55" s="9">
        <f t="shared" si="14"/>
        <v>12620.49637739295</v>
      </c>
      <c r="F55" s="9">
        <f>E55*'Results '!K$28</f>
        <v>2776.5092030264491</v>
      </c>
      <c r="G55" s="8">
        <f t="shared" si="9"/>
        <v>6310.2481886964752</v>
      </c>
      <c r="H55" s="8">
        <f t="shared" si="15"/>
        <v>21707.253769115872</v>
      </c>
      <c r="I55" s="8">
        <f>Staffing!B58*'Adjuster Cost'!I$3</f>
        <v>34662.229398710151</v>
      </c>
      <c r="J55" s="9">
        <f t="shared" si="10"/>
        <v>28351.981210013677</v>
      </c>
      <c r="K55" s="4">
        <f t="shared" si="11"/>
        <v>0.81795030792418411</v>
      </c>
    </row>
    <row r="56" spans="1:12" x14ac:dyDescent="0.2">
      <c r="A56" s="6">
        <f t="shared" si="16"/>
        <v>52</v>
      </c>
      <c r="B56" s="8">
        <f>Staffing!T59</f>
        <v>9720.3894772342919</v>
      </c>
      <c r="C56" s="8">
        <f>Staffing!U59</f>
        <v>2478.3121011710159</v>
      </c>
      <c r="D56" s="8">
        <f>Staffing!V59</f>
        <v>477.42720684780124</v>
      </c>
      <c r="E56" s="9">
        <f t="shared" si="14"/>
        <v>12676.12878525311</v>
      </c>
      <c r="F56" s="9">
        <f>E56*'Results '!K$28</f>
        <v>2788.7483327556843</v>
      </c>
      <c r="G56" s="8">
        <f t="shared" si="9"/>
        <v>6338.0643926265548</v>
      </c>
      <c r="H56" s="8">
        <f t="shared" si="15"/>
        <v>21802.941510635348</v>
      </c>
      <c r="I56" s="8">
        <f>Staffing!B59*'Adjuster Cost'!I$3</f>
        <v>34774.881644255955</v>
      </c>
      <c r="J56" s="9">
        <f t="shared" si="10"/>
        <v>28436.8172516294</v>
      </c>
      <c r="K56" s="4">
        <f t="shared" si="11"/>
        <v>0.81774015919121146</v>
      </c>
    </row>
    <row r="57" spans="1:12" x14ac:dyDescent="0.2">
      <c r="A57" s="6">
        <f t="shared" si="16"/>
        <v>53</v>
      </c>
      <c r="B57" s="8">
        <f>Staffing!T60</f>
        <v>9762.6245880208389</v>
      </c>
      <c r="C57" s="8">
        <f>Staffing!U60</f>
        <v>2489.096218453074</v>
      </c>
      <c r="D57" s="8">
        <f>Staffing!V60</f>
        <v>478.97884830957992</v>
      </c>
      <c r="E57" s="9">
        <f t="shared" si="14"/>
        <v>12730.699654783493</v>
      </c>
      <c r="F57" s="9">
        <f>E57*'Results '!K$28</f>
        <v>2800.7539240523683</v>
      </c>
      <c r="G57" s="8">
        <f t="shared" si="9"/>
        <v>6365.3498273917467</v>
      </c>
      <c r="H57" s="8">
        <f t="shared" si="15"/>
        <v>21896.803406227609</v>
      </c>
      <c r="I57" s="8">
        <f>Staffing!B60*'Adjuster Cost'!I$3</f>
        <v>34887.900009599784</v>
      </c>
      <c r="J57" s="9">
        <f t="shared" si="10"/>
        <v>28522.550182208037</v>
      </c>
      <c r="K57" s="4">
        <f t="shared" si="11"/>
        <v>0.81754849602182267</v>
      </c>
    </row>
    <row r="58" spans="1:12" x14ac:dyDescent="0.2">
      <c r="A58" s="6">
        <f t="shared" si="16"/>
        <v>54</v>
      </c>
      <c r="B58" s="8">
        <f>Staffing!T61</f>
        <v>9804.0922360936638</v>
      </c>
      <c r="C58" s="8">
        <f>Staffing!U61</f>
        <v>2499.6833678652702</v>
      </c>
      <c r="D58" s="8">
        <f>Staffing!V61</f>
        <v>480.53553160306672</v>
      </c>
      <c r="E58" s="9">
        <f t="shared" si="14"/>
        <v>12784.311135562</v>
      </c>
      <c r="F58" s="9">
        <f>E58*'Results '!K$28</f>
        <v>2812.5484498236401</v>
      </c>
      <c r="G58" s="8">
        <f t="shared" si="9"/>
        <v>6392.1555677810002</v>
      </c>
      <c r="H58" s="8">
        <f t="shared" si="15"/>
        <v>21989.015153166642</v>
      </c>
      <c r="I58" s="8">
        <f>Staffing!B61*'Adjuster Cost'!I$3</f>
        <v>35001.285684630988</v>
      </c>
      <c r="J58" s="9">
        <f t="shared" si="10"/>
        <v>28609.130116849989</v>
      </c>
      <c r="K58" s="4">
        <f t="shared" si="11"/>
        <v>0.81737369234445623</v>
      </c>
    </row>
    <row r="59" spans="1:12" x14ac:dyDescent="0.2">
      <c r="A59" s="6">
        <f t="shared" si="16"/>
        <v>55</v>
      </c>
      <c r="B59" s="8">
        <f>Staffing!T62</f>
        <v>9844.8668289789821</v>
      </c>
      <c r="C59" s="8">
        <f>Staffing!U62</f>
        <v>2510.092630643368</v>
      </c>
      <c r="D59" s="8">
        <f>Staffing!V62</f>
        <v>482.09727344521866</v>
      </c>
      <c r="E59" s="9">
        <f t="shared" si="14"/>
        <v>12837.056733067569</v>
      </c>
      <c r="F59" s="9">
        <f>E59*'Results '!K$28</f>
        <v>2824.1524812748653</v>
      </c>
      <c r="G59" s="8">
        <f t="shared" si="9"/>
        <v>6418.5283665337847</v>
      </c>
      <c r="H59" s="8">
        <f t="shared" si="15"/>
        <v>22079.737580876219</v>
      </c>
      <c r="I59" s="8">
        <f>Staffing!B62*'Adjuster Cost'!I$3</f>
        <v>35115.039863106038</v>
      </c>
      <c r="J59" s="9">
        <f t="shared" si="10"/>
        <v>28696.511496572253</v>
      </c>
      <c r="K59" s="4">
        <f t="shared" si="11"/>
        <v>0.81721426512525552</v>
      </c>
    </row>
    <row r="60" spans="1:12" x14ac:dyDescent="0.2">
      <c r="A60" s="6">
        <f t="shared" si="16"/>
        <v>56</v>
      </c>
      <c r="B60" s="8">
        <f>Staffing!T63</f>
        <v>9885.0164793761469</v>
      </c>
      <c r="C60" s="8">
        <f>Staffing!U63</f>
        <v>2520.3414737197299</v>
      </c>
      <c r="D60" s="8">
        <f>Staffing!V63</f>
        <v>483.66409049809181</v>
      </c>
      <c r="E60" s="9">
        <f t="shared" si="14"/>
        <v>12889.02204359397</v>
      </c>
      <c r="F60" s="9">
        <f>E60*'Results '!K$28</f>
        <v>2835.5848495906735</v>
      </c>
      <c r="G60" s="8">
        <f t="shared" si="9"/>
        <v>6444.511021796985</v>
      </c>
      <c r="H60" s="8">
        <f t="shared" si="15"/>
        <v>22169.117914981631</v>
      </c>
      <c r="I60" s="8">
        <f>Staffing!B63*'Adjuster Cost'!I$3</f>
        <v>35229.163742661134</v>
      </c>
      <c r="J60" s="9">
        <f t="shared" si="10"/>
        <v>28784.652720864149</v>
      </c>
      <c r="K60" s="4">
        <f t="shared" si="11"/>
        <v>0.81706886178530158</v>
      </c>
    </row>
    <row r="61" spans="1:12" x14ac:dyDescent="0.2">
      <c r="A61" s="6">
        <f t="shared" si="16"/>
        <v>57</v>
      </c>
      <c r="B61" s="8">
        <f>Staffing!T64</f>
        <v>9924.6035403148489</v>
      </c>
      <c r="C61" s="8">
        <f>Staffing!U64</f>
        <v>2530.4458869638133</v>
      </c>
      <c r="D61" s="8">
        <f>Staffing!V64</f>
        <v>485.23599940470859</v>
      </c>
      <c r="E61" s="9">
        <f t="shared" si="14"/>
        <v>12940.285426683371</v>
      </c>
      <c r="F61" s="9">
        <f>E61*'Results '!K$28</f>
        <v>2846.8627938703416</v>
      </c>
      <c r="G61" s="8">
        <f t="shared" si="9"/>
        <v>6470.1427133416855</v>
      </c>
      <c r="H61" s="8">
        <f t="shared" si="15"/>
        <v>22257.290933895398</v>
      </c>
      <c r="I61" s="8">
        <f>Staffing!B64*'Adjuster Cost'!I$3</f>
        <v>35343.658524824787</v>
      </c>
      <c r="J61" s="9">
        <f t="shared" si="10"/>
        <v>28873.515811483099</v>
      </c>
      <c r="K61" s="4">
        <f t="shared" si="11"/>
        <v>0.81693624872486903</v>
      </c>
    </row>
    <row r="62" spans="1:12" x14ac:dyDescent="0.2">
      <c r="A62" s="6">
        <f t="shared" si="16"/>
        <v>58</v>
      </c>
      <c r="B62" s="8">
        <f>Staffing!T65</f>
        <v>9963.6850948242318</v>
      </c>
      <c r="C62" s="8">
        <f>Staffing!U65</f>
        <v>2540.4205087573077</v>
      </c>
      <c r="D62" s="8">
        <f>Staffing!V65</f>
        <v>486.81301681314761</v>
      </c>
      <c r="E62" s="9">
        <f t="shared" si="14"/>
        <v>12990.918620394688</v>
      </c>
      <c r="F62" s="9">
        <f>E62*'Results '!K$28</f>
        <v>2858.0020964868313</v>
      </c>
      <c r="G62" s="8">
        <f t="shared" si="9"/>
        <v>6495.4593101973442</v>
      </c>
      <c r="H62" s="8">
        <f t="shared" si="15"/>
        <v>22344.380027078863</v>
      </c>
      <c r="I62" s="8">
        <f>Staffing!B65*'Adjuster Cost'!I$3</f>
        <v>35458.525415030461</v>
      </c>
      <c r="J62" s="9">
        <f t="shared" si="10"/>
        <v>28963.066104833117</v>
      </c>
      <c r="K62" s="4">
        <f t="shared" si="11"/>
        <v>0.81681530085726595</v>
      </c>
    </row>
    <row r="63" spans="1:12" x14ac:dyDescent="0.2">
      <c r="A63" s="6">
        <f t="shared" si="16"/>
        <v>59</v>
      </c>
      <c r="B63" s="8">
        <f>Staffing!T66</f>
        <v>10002.313403980494</v>
      </c>
      <c r="C63" s="8">
        <f>Staffing!U66</f>
        <v>2550.2787408954587</v>
      </c>
      <c r="D63" s="8">
        <f>Staffing!V66</f>
        <v>488.39515939274065</v>
      </c>
      <c r="E63" s="9">
        <f t="shared" si="14"/>
        <v>13040.987304268694</v>
      </c>
      <c r="F63" s="9">
        <f>E63*'Results '!K$28</f>
        <v>2869.0172069391128</v>
      </c>
      <c r="G63" s="8">
        <f t="shared" si="9"/>
        <v>6520.493652134347</v>
      </c>
      <c r="H63" s="8">
        <f t="shared" si="15"/>
        <v>22430.498163342156</v>
      </c>
      <c r="I63" s="8">
        <f>Staffing!B66*'Adjuster Cost'!I$3</f>
        <v>35573.765622629311</v>
      </c>
      <c r="J63" s="9">
        <f t="shared" si="10"/>
        <v>29053.271970494963</v>
      </c>
      <c r="K63" s="4">
        <f t="shared" si="11"/>
        <v>0.81670499206340674</v>
      </c>
    </row>
    <row r="64" spans="1:12" s="19" customFormat="1" x14ac:dyDescent="0.2">
      <c r="A64" s="15">
        <f t="shared" si="16"/>
        <v>60</v>
      </c>
      <c r="B64" s="16">
        <f>Staffing!T67</f>
        <v>10040.536316870672</v>
      </c>
      <c r="C64" s="16">
        <f>Staffing!U67</f>
        <v>2560.0328537218593</v>
      </c>
      <c r="D64" s="16">
        <f>Staffing!V67</f>
        <v>489.98244384498383</v>
      </c>
      <c r="E64" s="17">
        <f t="shared" si="14"/>
        <v>13090.551614437514</v>
      </c>
      <c r="F64" s="17">
        <f>E64*'Results '!K$28</f>
        <v>2879.9213551762532</v>
      </c>
      <c r="G64" s="16">
        <f t="shared" si="9"/>
        <v>6545.2758072187571</v>
      </c>
      <c r="H64" s="16">
        <f t="shared" si="15"/>
        <v>22515.748776832523</v>
      </c>
      <c r="I64" s="16">
        <f>Staffing!B67*'Adjuster Cost'!I$3</f>
        <v>35689.380360902855</v>
      </c>
      <c r="J64" s="17">
        <f t="shared" si="10"/>
        <v>29144.104553684097</v>
      </c>
      <c r="K64" s="57">
        <f t="shared" si="11"/>
        <v>0.81660438648609879</v>
      </c>
      <c r="L64" s="16"/>
    </row>
    <row r="65" spans="2:10" x14ac:dyDescent="0.2">
      <c r="B65" s="58">
        <f>SUM(B5:B64)</f>
        <v>429028.22839953634</v>
      </c>
      <c r="C65" s="58">
        <f>SUM(C5:C64)</f>
        <v>113190.77471784932</v>
      </c>
      <c r="D65" s="58">
        <f>SUM(D5:D64)</f>
        <v>23524.296938385844</v>
      </c>
      <c r="E65" s="9"/>
      <c r="F65" s="9"/>
      <c r="I65" s="1"/>
      <c r="J65" s="9"/>
    </row>
    <row r="66" spans="2:10" x14ac:dyDescent="0.2">
      <c r="J66" s="8"/>
    </row>
  </sheetData>
  <sheetProtection password="CB05" sheet="1" objects="1" scenarios="1"/>
  <phoneticPr fontId="0" type="noConversion"/>
  <printOptions gridLines="1" gridLinesSet="0"/>
  <pageMargins left="0.75" right="0.75" top="1" bottom="1" header="0.5" footer="0.5"/>
  <pageSetup scale="60" orientation="portrait" horizontalDpi="300"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F1" workbookViewId="0">
      <selection activeCell="M14" sqref="M14"/>
    </sheetView>
  </sheetViews>
  <sheetFormatPr defaultRowHeight="12.75" x14ac:dyDescent="0.2"/>
  <cols>
    <col min="3" max="3" width="12.42578125" customWidth="1"/>
    <col min="4" max="4" width="11.42578125" customWidth="1"/>
    <col min="5" max="8" width="11.7109375" style="6" customWidth="1"/>
    <col min="9" max="9" width="9.140625" style="3"/>
  </cols>
  <sheetData>
    <row r="1" spans="1:9" x14ac:dyDescent="0.2">
      <c r="E1" s="6" t="s">
        <v>195</v>
      </c>
      <c r="F1" s="6">
        <v>0.5</v>
      </c>
      <c r="G1" s="2">
        <v>1</v>
      </c>
      <c r="H1" s="2" t="s">
        <v>196</v>
      </c>
      <c r="I1" s="3">
        <f>'Results '!E22</f>
        <v>480</v>
      </c>
    </row>
    <row r="2" spans="1:9" x14ac:dyDescent="0.2">
      <c r="A2" t="s">
        <v>197</v>
      </c>
      <c r="B2" t="s">
        <v>198</v>
      </c>
      <c r="C2" s="6" t="s">
        <v>199</v>
      </c>
      <c r="D2" t="s">
        <v>200</v>
      </c>
      <c r="E2" s="6" t="s">
        <v>201</v>
      </c>
      <c r="F2" s="6" t="s">
        <v>202</v>
      </c>
      <c r="G2" s="6" t="s">
        <v>203</v>
      </c>
      <c r="H2" s="6" t="s">
        <v>57</v>
      </c>
      <c r="I2" s="3" t="s">
        <v>204</v>
      </c>
    </row>
    <row r="3" spans="1:9" x14ac:dyDescent="0.2">
      <c r="A3" s="6">
        <f>Staffing!A8</f>
        <v>1</v>
      </c>
      <c r="B3" s="2">
        <f>(Staffing!B8/1000000)*Staffing!E$3</f>
        <v>3.5</v>
      </c>
      <c r="C3" s="2">
        <f>B3</f>
        <v>3.5</v>
      </c>
      <c r="D3" s="2">
        <f>C3*'Results '!D$10</f>
        <v>1.155</v>
      </c>
      <c r="E3" s="2">
        <f>B3-D3</f>
        <v>2.3449999999999998</v>
      </c>
      <c r="F3" s="2">
        <f>B3*F$1</f>
        <v>1.75</v>
      </c>
      <c r="G3" s="2">
        <v>0</v>
      </c>
      <c r="H3" s="2">
        <f>F3+G3</f>
        <v>1.75</v>
      </c>
      <c r="I3" s="3">
        <f>H3/I$1</f>
        <v>3.6458333333333334E-3</v>
      </c>
    </row>
    <row r="4" spans="1:9" x14ac:dyDescent="0.2">
      <c r="A4" s="6">
        <f>Staffing!A9</f>
        <v>2</v>
      </c>
      <c r="B4" s="2">
        <f>(Staffing!B9/1000000)*Staffing!E$3</f>
        <v>7.0113749999999992</v>
      </c>
      <c r="C4" s="2">
        <f>E3+B4</f>
        <v>9.3563749999999999</v>
      </c>
      <c r="D4" s="2">
        <f>C4*'Results '!D$10</f>
        <v>3.08760375</v>
      </c>
      <c r="E4" s="3">
        <f>C4-D4</f>
        <v>6.2687712500000004</v>
      </c>
      <c r="F4" s="2">
        <f t="shared" ref="F4:F19" si="0">B4*F$1</f>
        <v>3.5056874999999996</v>
      </c>
      <c r="G4" s="3">
        <f>E3*G$1</f>
        <v>2.3449999999999998</v>
      </c>
      <c r="H4" s="2">
        <f t="shared" ref="H4:H19" si="1">F4+G4</f>
        <v>5.8506874999999994</v>
      </c>
      <c r="I4" s="3">
        <f t="shared" ref="I4:I19" si="2">H4/I$1</f>
        <v>1.2188932291666666E-2</v>
      </c>
    </row>
    <row r="5" spans="1:9" x14ac:dyDescent="0.2">
      <c r="A5" s="6">
        <f>Staffing!A10</f>
        <v>3</v>
      </c>
      <c r="B5" s="2">
        <f>(Staffing!B10/1000000)*Staffing!E$3</f>
        <v>10.53416196875</v>
      </c>
      <c r="C5" s="2">
        <f t="shared" ref="C5:C20" si="3">E4+B5</f>
        <v>16.802933218749999</v>
      </c>
      <c r="D5" s="2">
        <f>C5*'Results '!D$10</f>
        <v>5.5449679621875001</v>
      </c>
      <c r="E5" s="3">
        <f t="shared" ref="E5:E20" si="4">C5-D5</f>
        <v>11.2579652565625</v>
      </c>
      <c r="F5" s="2">
        <f t="shared" si="0"/>
        <v>5.2670809843750002</v>
      </c>
      <c r="G5" s="3">
        <f t="shared" ref="G5:G20" si="5">E4*G$1</f>
        <v>6.2687712500000004</v>
      </c>
      <c r="H5" s="2">
        <f t="shared" si="1"/>
        <v>11.535852234375</v>
      </c>
      <c r="I5" s="3">
        <f t="shared" si="2"/>
        <v>2.4033025488281248E-2</v>
      </c>
    </row>
    <row r="6" spans="1:9" x14ac:dyDescent="0.2">
      <c r="A6" s="6">
        <f>Staffing!A11</f>
        <v>4</v>
      </c>
      <c r="B6" s="2">
        <f>(Staffing!B11/1000000)*Staffing!E$3</f>
        <v>14.068397995148436</v>
      </c>
      <c r="C6" s="2">
        <f t="shared" si="3"/>
        <v>25.326363251710937</v>
      </c>
      <c r="D6" s="2">
        <f>C6*'Results '!D$10</f>
        <v>8.3576998730646093</v>
      </c>
      <c r="E6" s="3">
        <f t="shared" si="4"/>
        <v>16.968663378646326</v>
      </c>
      <c r="F6" s="2">
        <f t="shared" si="0"/>
        <v>7.0341989975742178</v>
      </c>
      <c r="G6" s="3">
        <f t="shared" si="5"/>
        <v>11.2579652565625</v>
      </c>
      <c r="H6" s="2">
        <f t="shared" si="1"/>
        <v>18.292164254136718</v>
      </c>
      <c r="I6" s="3">
        <f t="shared" si="2"/>
        <v>3.8108675529451498E-2</v>
      </c>
    </row>
    <row r="7" spans="1:9" x14ac:dyDescent="0.2">
      <c r="A7" s="6">
        <f>Staffing!A12</f>
        <v>5</v>
      </c>
      <c r="B7" s="2">
        <f>(Staffing!B12/1000000)*Staffing!E$3</f>
        <v>17.61412028863267</v>
      </c>
      <c r="C7" s="2">
        <f t="shared" si="3"/>
        <v>34.582783667278996</v>
      </c>
      <c r="D7" s="2">
        <f>C7*'Results '!D$10</f>
        <v>11.412318610202069</v>
      </c>
      <c r="E7" s="3">
        <f t="shared" si="4"/>
        <v>23.170465057076925</v>
      </c>
      <c r="F7" s="2">
        <f t="shared" si="0"/>
        <v>8.8070601443163348</v>
      </c>
      <c r="G7" s="3">
        <f t="shared" si="5"/>
        <v>16.968663378646326</v>
      </c>
      <c r="H7" s="2">
        <f t="shared" si="1"/>
        <v>25.775723522962661</v>
      </c>
      <c r="I7" s="3">
        <f t="shared" si="2"/>
        <v>5.3699424006172211E-2</v>
      </c>
    </row>
    <row r="8" spans="1:9" x14ac:dyDescent="0.2">
      <c r="A8" s="6">
        <f>Staffing!A13</f>
        <v>6</v>
      </c>
      <c r="B8" s="2">
        <f>(Staffing!B13/1000000)*Staffing!E$3</f>
        <v>21.171366179570722</v>
      </c>
      <c r="C8" s="2">
        <f t="shared" si="3"/>
        <v>44.34183123664765</v>
      </c>
      <c r="D8" s="2">
        <f>C8*'Results '!D$10</f>
        <v>14.632804308093725</v>
      </c>
      <c r="E8" s="3">
        <f t="shared" si="4"/>
        <v>29.709026928553925</v>
      </c>
      <c r="F8" s="2">
        <f t="shared" si="0"/>
        <v>10.585683089785361</v>
      </c>
      <c r="G8" s="3">
        <f t="shared" si="5"/>
        <v>23.170465057076925</v>
      </c>
      <c r="H8" s="2">
        <f t="shared" si="1"/>
        <v>33.756148146862287</v>
      </c>
      <c r="I8" s="3">
        <f t="shared" si="2"/>
        <v>7.0325308639296438E-2</v>
      </c>
    </row>
    <row r="9" spans="1:9" x14ac:dyDescent="0.2">
      <c r="A9" s="6">
        <f>Staffing!A14</f>
        <v>7</v>
      </c>
      <c r="B9" s="2">
        <f>(Staffing!B14/1000000)*Staffing!E$3</f>
        <v>24.74017311965433</v>
      </c>
      <c r="C9" s="2">
        <f t="shared" si="3"/>
        <v>54.449200048208255</v>
      </c>
      <c r="D9" s="2">
        <f>C9*'Results '!D$10</f>
        <v>17.968236015908726</v>
      </c>
      <c r="E9" s="3">
        <f t="shared" si="4"/>
        <v>36.480964032299525</v>
      </c>
      <c r="F9" s="2">
        <f t="shared" si="0"/>
        <v>12.370086559827165</v>
      </c>
      <c r="G9" s="3">
        <f t="shared" si="5"/>
        <v>29.709026928553925</v>
      </c>
      <c r="H9" s="2">
        <f t="shared" si="1"/>
        <v>42.07911348838109</v>
      </c>
      <c r="I9" s="3">
        <f t="shared" si="2"/>
        <v>8.76648197674606E-2</v>
      </c>
    </row>
    <row r="10" spans="1:9" x14ac:dyDescent="0.2">
      <c r="A10" s="6">
        <f>Staffing!A15</f>
        <v>8</v>
      </c>
      <c r="B10" s="2">
        <f>(Staffing!B15/1000000)*Staffing!E$3</f>
        <v>28.320578682293206</v>
      </c>
      <c r="C10" s="2">
        <f t="shared" si="3"/>
        <v>64.801542714592728</v>
      </c>
      <c r="D10" s="2">
        <f>C10*'Results '!D$10</f>
        <v>21.384509095815602</v>
      </c>
      <c r="E10" s="3">
        <f t="shared" si="4"/>
        <v>43.417033618777126</v>
      </c>
      <c r="F10" s="2">
        <f t="shared" si="0"/>
        <v>14.160289341146603</v>
      </c>
      <c r="G10" s="3">
        <f t="shared" si="5"/>
        <v>36.480964032299525</v>
      </c>
      <c r="H10" s="2">
        <f t="shared" si="1"/>
        <v>50.641253373446126</v>
      </c>
      <c r="I10" s="3">
        <f t="shared" si="2"/>
        <v>0.10550261119467944</v>
      </c>
    </row>
    <row r="11" spans="1:9" x14ac:dyDescent="0.2">
      <c r="A11" s="6">
        <f>Staffing!A16</f>
        <v>9</v>
      </c>
      <c r="B11" s="2">
        <f>(Staffing!B16/1000000)*Staffing!E$3</f>
        <v>31.912620563010659</v>
      </c>
      <c r="C11" s="2">
        <f t="shared" si="3"/>
        <v>75.329654181787788</v>
      </c>
      <c r="D11" s="2">
        <f>C11*'Results '!D$10</f>
        <v>24.85878587998997</v>
      </c>
      <c r="E11" s="3">
        <f t="shared" si="4"/>
        <v>50.470868301797822</v>
      </c>
      <c r="F11" s="2">
        <f t="shared" si="0"/>
        <v>15.956310281505329</v>
      </c>
      <c r="G11" s="3">
        <f t="shared" si="5"/>
        <v>43.417033618777126</v>
      </c>
      <c r="H11" s="2">
        <f t="shared" si="1"/>
        <v>59.373343900282457</v>
      </c>
      <c r="I11" s="3">
        <f t="shared" si="2"/>
        <v>0.12369446645892178</v>
      </c>
    </row>
    <row r="12" spans="1:9" x14ac:dyDescent="0.2">
      <c r="A12" s="6">
        <f>Staffing!A17</f>
        <v>10</v>
      </c>
      <c r="B12" s="2">
        <f>(Staffing!B17/1000000)*Staffing!E$3</f>
        <v>35.516336579840441</v>
      </c>
      <c r="C12" s="2">
        <f t="shared" si="3"/>
        <v>85.987204881638263</v>
      </c>
      <c r="D12" s="2">
        <f>C12*'Results '!D$10</f>
        <v>28.375777610940627</v>
      </c>
      <c r="E12" s="3">
        <f t="shared" si="4"/>
        <v>57.611427270697632</v>
      </c>
      <c r="F12" s="2">
        <f t="shared" si="0"/>
        <v>17.758168289920221</v>
      </c>
      <c r="G12" s="3">
        <f t="shared" si="5"/>
        <v>50.470868301797822</v>
      </c>
      <c r="H12" s="2">
        <f t="shared" si="1"/>
        <v>68.229036591718042</v>
      </c>
      <c r="I12" s="3">
        <f t="shared" si="2"/>
        <v>0.14214382623274593</v>
      </c>
    </row>
    <row r="13" spans="1:9" x14ac:dyDescent="0.2">
      <c r="A13" s="6">
        <f>Staffing!A18</f>
        <v>11</v>
      </c>
      <c r="B13" s="2">
        <f>(Staffing!B18/1000000)*Staffing!E$3</f>
        <v>39.131764673724916</v>
      </c>
      <c r="C13" s="2">
        <f t="shared" si="3"/>
        <v>96.743191944422549</v>
      </c>
      <c r="D13" s="2">
        <f>C13*'Results '!D$10</f>
        <v>31.925253341659442</v>
      </c>
      <c r="E13" s="3">
        <f t="shared" si="4"/>
        <v>64.817938602763107</v>
      </c>
      <c r="F13" s="2">
        <f t="shared" si="0"/>
        <v>19.565882336862458</v>
      </c>
      <c r="G13" s="3">
        <f t="shared" si="5"/>
        <v>57.611427270697632</v>
      </c>
      <c r="H13" s="2">
        <f t="shared" si="1"/>
        <v>77.17730960756009</v>
      </c>
      <c r="I13" s="3">
        <f t="shared" si="2"/>
        <v>0.16078606168241685</v>
      </c>
    </row>
    <row r="14" spans="1:9" s="19" customFormat="1" x14ac:dyDescent="0.2">
      <c r="A14" s="15">
        <f>Staffing!A19</f>
        <v>12</v>
      </c>
      <c r="B14" s="18">
        <f>(Staffing!B19/1000000)*Staffing!E$3</f>
        <v>42.758942908914527</v>
      </c>
      <c r="C14" s="18">
        <f t="shared" si="3"/>
        <v>107.57688151167764</v>
      </c>
      <c r="D14" s="18">
        <f>C14*'Results '!D$10</f>
        <v>35.500370898853625</v>
      </c>
      <c r="E14" s="5">
        <f t="shared" si="4"/>
        <v>72.076510612824023</v>
      </c>
      <c r="F14" s="18">
        <f t="shared" si="0"/>
        <v>21.379471454457263</v>
      </c>
      <c r="G14" s="5">
        <f t="shared" si="5"/>
        <v>64.817938602763107</v>
      </c>
      <c r="H14" s="18">
        <f t="shared" si="1"/>
        <v>86.197410057220367</v>
      </c>
      <c r="I14" s="5">
        <f t="shared" si="2"/>
        <v>0.17957793761920909</v>
      </c>
    </row>
    <row r="15" spans="1:9" x14ac:dyDescent="0.2">
      <c r="A15" s="6">
        <f>Staffing!A20</f>
        <v>13</v>
      </c>
      <c r="B15" s="2">
        <f>(Staffing!B20/1000000)*Staffing!E$3</f>
        <v>42.897909473368493</v>
      </c>
      <c r="C15" s="2">
        <f t="shared" si="3"/>
        <v>114.97442008619251</v>
      </c>
      <c r="D15" s="2">
        <f>C15*'Results '!D$10</f>
        <v>37.941558628443531</v>
      </c>
      <c r="E15" s="3">
        <f t="shared" si="4"/>
        <v>77.032861457748979</v>
      </c>
      <c r="F15" s="2">
        <f t="shared" si="0"/>
        <v>21.448954736684247</v>
      </c>
      <c r="G15" s="3">
        <f t="shared" si="5"/>
        <v>72.076510612824023</v>
      </c>
      <c r="H15" s="2">
        <f t="shared" si="1"/>
        <v>93.525465349508266</v>
      </c>
      <c r="I15" s="3">
        <f t="shared" si="2"/>
        <v>0.19484471947814222</v>
      </c>
    </row>
    <row r="16" spans="1:9" x14ac:dyDescent="0.2">
      <c r="A16" s="6">
        <f>Staffing!A21</f>
        <v>14</v>
      </c>
      <c r="B16" s="2">
        <f>(Staffing!B21/1000000)*Staffing!E$3</f>
        <v>43.037327679156945</v>
      </c>
      <c r="C16" s="2">
        <f t="shared" si="3"/>
        <v>120.07018913690592</v>
      </c>
      <c r="D16" s="2">
        <f>C16*'Results '!D$10</f>
        <v>39.62316241517896</v>
      </c>
      <c r="E16" s="3">
        <f t="shared" si="4"/>
        <v>80.447026721726957</v>
      </c>
      <c r="F16" s="2">
        <f t="shared" si="0"/>
        <v>21.518663839578473</v>
      </c>
      <c r="G16" s="3">
        <f t="shared" si="5"/>
        <v>77.032861457748979</v>
      </c>
      <c r="H16" s="2">
        <f t="shared" si="1"/>
        <v>98.551525297327458</v>
      </c>
      <c r="I16" s="3">
        <f t="shared" si="2"/>
        <v>0.20531567770276554</v>
      </c>
    </row>
    <row r="17" spans="1:9" x14ac:dyDescent="0.2">
      <c r="A17" s="6">
        <f>Staffing!A22</f>
        <v>15</v>
      </c>
      <c r="B17" s="2">
        <f>(Staffing!B22/1000000)*Staffing!E$3</f>
        <v>43.177198994114207</v>
      </c>
      <c r="C17" s="2">
        <f t="shared" si="3"/>
        <v>123.62422571584116</v>
      </c>
      <c r="D17" s="2">
        <f>C17*'Results '!D$10</f>
        <v>40.795994486227585</v>
      </c>
      <c r="E17" s="3">
        <f t="shared" si="4"/>
        <v>82.828231229613579</v>
      </c>
      <c r="F17" s="2">
        <f t="shared" si="0"/>
        <v>21.588599497057103</v>
      </c>
      <c r="G17" s="3">
        <f t="shared" si="5"/>
        <v>80.447026721726957</v>
      </c>
      <c r="H17" s="2">
        <f t="shared" si="1"/>
        <v>102.03562621878406</v>
      </c>
      <c r="I17" s="3">
        <f t="shared" si="2"/>
        <v>0.21257422128913345</v>
      </c>
    </row>
    <row r="18" spans="1:9" x14ac:dyDescent="0.2">
      <c r="A18" s="6">
        <f>Staffing!A23</f>
        <v>16</v>
      </c>
      <c r="B18" s="2">
        <f>(Staffing!B23/1000000)*Staffing!E$3</f>
        <v>43.317524890845071</v>
      </c>
      <c r="C18" s="2">
        <f t="shared" si="3"/>
        <v>126.14575612045866</v>
      </c>
      <c r="D18" s="2">
        <f>C18*'Results '!D$10</f>
        <v>41.628099519751359</v>
      </c>
      <c r="E18" s="3">
        <f t="shared" si="4"/>
        <v>84.517656600707298</v>
      </c>
      <c r="F18" s="2">
        <f t="shared" si="0"/>
        <v>21.658762445422536</v>
      </c>
      <c r="G18" s="3">
        <f t="shared" si="5"/>
        <v>82.828231229613579</v>
      </c>
      <c r="H18" s="2">
        <f t="shared" si="1"/>
        <v>104.48699367503612</v>
      </c>
      <c r="I18" s="3">
        <f t="shared" si="2"/>
        <v>0.21768123682299192</v>
      </c>
    </row>
    <row r="19" spans="1:9" x14ac:dyDescent="0.2">
      <c r="A19" s="6">
        <f>Staffing!A24</f>
        <v>17</v>
      </c>
      <c r="B19" s="2">
        <f>(Staffing!B24/1000000)*Staffing!E$3</f>
        <v>43.458306846740335</v>
      </c>
      <c r="C19" s="2">
        <f t="shared" si="3"/>
        <v>127.97596344744764</v>
      </c>
      <c r="D19" s="2">
        <f>C19*'Results '!D$10</f>
        <v>42.232067937657725</v>
      </c>
      <c r="E19" s="3">
        <f t="shared" si="4"/>
        <v>85.743895509789922</v>
      </c>
      <c r="F19" s="2">
        <f t="shared" si="0"/>
        <v>21.729153423370168</v>
      </c>
      <c r="G19" s="3">
        <f t="shared" si="5"/>
        <v>84.517656600707298</v>
      </c>
      <c r="H19" s="2">
        <f t="shared" si="1"/>
        <v>106.24681002407746</v>
      </c>
      <c r="I19" s="3">
        <f t="shared" si="2"/>
        <v>0.22134752088349471</v>
      </c>
    </row>
    <row r="20" spans="1:9" x14ac:dyDescent="0.2">
      <c r="A20" s="6">
        <f>Staffing!A25</f>
        <v>18</v>
      </c>
      <c r="B20" s="2">
        <f>(Staffing!B25/1000000)*Staffing!E$3</f>
        <v>43.59954634399223</v>
      </c>
      <c r="C20" s="2">
        <f t="shared" si="3"/>
        <v>129.34344185378217</v>
      </c>
      <c r="D20" s="2">
        <f>C20*'Results '!D$10</f>
        <v>42.683335811748115</v>
      </c>
      <c r="E20" s="3">
        <f t="shared" si="4"/>
        <v>86.660106042034045</v>
      </c>
      <c r="F20" s="2">
        <f t="shared" ref="F20:F35" si="6">B20*F$1</f>
        <v>21.799773171996115</v>
      </c>
      <c r="G20" s="3">
        <f t="shared" si="5"/>
        <v>85.743895509789922</v>
      </c>
      <c r="H20" s="2">
        <f t="shared" ref="H20:H35" si="7">F20+G20</f>
        <v>107.54366868178604</v>
      </c>
      <c r="I20" s="3">
        <f t="shared" ref="I20:I35" si="8">H20/I$1</f>
        <v>0.22404930975372092</v>
      </c>
    </row>
    <row r="21" spans="1:9" x14ac:dyDescent="0.2">
      <c r="A21" s="6">
        <f>Staffing!A26</f>
        <v>19</v>
      </c>
      <c r="B21" s="2">
        <f>(Staffing!B26/1000000)*Staffing!E$3</f>
        <v>43.741244869610199</v>
      </c>
      <c r="C21" s="2">
        <f t="shared" ref="C21:C36" si="9">E20+B21</f>
        <v>130.40135091164424</v>
      </c>
      <c r="D21" s="2">
        <f>C21*'Results '!D$10</f>
        <v>43.032445800842602</v>
      </c>
      <c r="E21" s="3">
        <f t="shared" ref="E21:E36" si="10">C21-D21</f>
        <v>87.368905110801649</v>
      </c>
      <c r="F21" s="2">
        <f t="shared" si="6"/>
        <v>21.870622434805099</v>
      </c>
      <c r="G21" s="3">
        <f t="shared" ref="G21:G36" si="11">E20*G$1</f>
        <v>86.660106042034045</v>
      </c>
      <c r="H21" s="2">
        <f t="shared" si="7"/>
        <v>108.53072847683914</v>
      </c>
      <c r="I21" s="3">
        <f t="shared" si="8"/>
        <v>0.22610568432674821</v>
      </c>
    </row>
    <row r="22" spans="1:9" x14ac:dyDescent="0.2">
      <c r="A22" s="6">
        <f>Staffing!A27</f>
        <v>20</v>
      </c>
      <c r="B22" s="2">
        <f>(Staffing!B27/1000000)*Staffing!E$3</f>
        <v>43.883403915436432</v>
      </c>
      <c r="C22" s="2">
        <f t="shared" si="9"/>
        <v>131.25230902623809</v>
      </c>
      <c r="D22" s="2">
        <f>C22*'Results '!D$10</f>
        <v>43.313261978658574</v>
      </c>
      <c r="E22" s="3">
        <f t="shared" si="10"/>
        <v>87.939047047579521</v>
      </c>
      <c r="F22" s="2">
        <f t="shared" si="6"/>
        <v>21.941701957718216</v>
      </c>
      <c r="G22" s="3">
        <f t="shared" si="11"/>
        <v>87.368905110801649</v>
      </c>
      <c r="H22" s="2">
        <f t="shared" si="7"/>
        <v>109.31060706851986</v>
      </c>
      <c r="I22" s="3">
        <f t="shared" si="8"/>
        <v>0.2277304313927497</v>
      </c>
    </row>
    <row r="23" spans="1:9" x14ac:dyDescent="0.2">
      <c r="A23" s="6">
        <f>Staffing!A28</f>
        <v>21</v>
      </c>
      <c r="B23" s="2">
        <f>(Staffing!B28/1000000)*Staffing!E$3</f>
        <v>44.026024978161594</v>
      </c>
      <c r="C23" s="2">
        <f t="shared" si="9"/>
        <v>131.96507202574111</v>
      </c>
      <c r="D23" s="2">
        <f>C23*'Results '!D$10</f>
        <v>43.548473768494567</v>
      </c>
      <c r="E23" s="3">
        <f t="shared" si="10"/>
        <v>88.416598257246534</v>
      </c>
      <c r="F23" s="2">
        <f t="shared" si="6"/>
        <v>22.013012489080797</v>
      </c>
      <c r="G23" s="3">
        <f t="shared" si="11"/>
        <v>87.939047047579521</v>
      </c>
      <c r="H23" s="2">
        <f t="shared" si="7"/>
        <v>109.95205953666031</v>
      </c>
      <c r="I23" s="3">
        <f t="shared" si="8"/>
        <v>0.22906679070137564</v>
      </c>
    </row>
    <row r="24" spans="1:9" x14ac:dyDescent="0.2">
      <c r="A24" s="6">
        <f>Staffing!A29</f>
        <v>22</v>
      </c>
      <c r="B24" s="2">
        <f>(Staffing!B29/1000000)*Staffing!E$3</f>
        <v>44.169109559340612</v>
      </c>
      <c r="C24" s="2">
        <f t="shared" si="9"/>
        <v>132.58570781658716</v>
      </c>
      <c r="D24" s="2">
        <f>C24*'Results '!D$10</f>
        <v>43.753283579473766</v>
      </c>
      <c r="E24" s="3">
        <f t="shared" si="10"/>
        <v>88.832424237113401</v>
      </c>
      <c r="F24" s="2">
        <f t="shared" si="6"/>
        <v>22.084554779670306</v>
      </c>
      <c r="G24" s="3">
        <f t="shared" si="11"/>
        <v>88.416598257246534</v>
      </c>
      <c r="H24" s="2">
        <f t="shared" si="7"/>
        <v>110.50115303691683</v>
      </c>
      <c r="I24" s="3">
        <f t="shared" si="8"/>
        <v>0.23021073549357673</v>
      </c>
    </row>
    <row r="25" spans="1:9" x14ac:dyDescent="0.2">
      <c r="A25" s="6">
        <f>Staffing!A30</f>
        <v>23</v>
      </c>
      <c r="B25" s="2">
        <f>(Staffing!B30/1000000)*Staffing!E$3</f>
        <v>44.312659165408476</v>
      </c>
      <c r="C25" s="2">
        <f t="shared" si="9"/>
        <v>133.14508340252189</v>
      </c>
      <c r="D25" s="2">
        <f>C25*'Results '!D$10</f>
        <v>43.937877522832224</v>
      </c>
      <c r="E25" s="3">
        <f t="shared" si="10"/>
        <v>89.207205879689667</v>
      </c>
      <c r="F25" s="2">
        <f t="shared" si="6"/>
        <v>22.156329582704238</v>
      </c>
      <c r="G25" s="3">
        <f t="shared" si="11"/>
        <v>88.832424237113401</v>
      </c>
      <c r="H25" s="2">
        <f t="shared" si="7"/>
        <v>110.98875381981765</v>
      </c>
      <c r="I25" s="3">
        <f t="shared" si="8"/>
        <v>0.23122657045795342</v>
      </c>
    </row>
    <row r="26" spans="1:9" s="19" customFormat="1" x14ac:dyDescent="0.2">
      <c r="A26" s="15">
        <f>Staffing!A31</f>
        <v>24</v>
      </c>
      <c r="B26" s="18">
        <f>(Staffing!B31/1000000)*Staffing!E$3</f>
        <v>44.456675307696059</v>
      </c>
      <c r="C26" s="18">
        <f t="shared" si="9"/>
        <v>133.66388118738573</v>
      </c>
      <c r="D26" s="18">
        <f>C26*'Results '!D$10</f>
        <v>44.109080791837293</v>
      </c>
      <c r="E26" s="5">
        <f t="shared" si="10"/>
        <v>89.554800395548426</v>
      </c>
      <c r="F26" s="18">
        <f t="shared" si="6"/>
        <v>22.22833765384803</v>
      </c>
      <c r="G26" s="5">
        <f t="shared" si="11"/>
        <v>89.207205879689667</v>
      </c>
      <c r="H26" s="18">
        <f t="shared" si="7"/>
        <v>111.4355435335377</v>
      </c>
      <c r="I26" s="5">
        <f t="shared" si="8"/>
        <v>0.23215738236153688</v>
      </c>
    </row>
    <row r="27" spans="1:9" x14ac:dyDescent="0.2">
      <c r="A27" s="6">
        <f>Staffing!A32</f>
        <v>25</v>
      </c>
      <c r="B27" s="2">
        <f>(Staffing!B32/1000000)*Staffing!E$3</f>
        <v>44.601159502446066</v>
      </c>
      <c r="C27" s="2">
        <f t="shared" si="9"/>
        <v>134.15595989799448</v>
      </c>
      <c r="D27" s="2">
        <f>C27*'Results '!D$10</f>
        <v>44.271466766338179</v>
      </c>
      <c r="E27" s="3">
        <f t="shared" si="10"/>
        <v>89.884493131656299</v>
      </c>
      <c r="F27" s="2">
        <f t="shared" si="6"/>
        <v>22.300579751223033</v>
      </c>
      <c r="G27" s="3">
        <f t="shared" si="11"/>
        <v>89.554800395548426</v>
      </c>
      <c r="H27" s="2">
        <f t="shared" si="7"/>
        <v>111.85538014677147</v>
      </c>
      <c r="I27" s="3">
        <f t="shared" si="8"/>
        <v>0.23303204197244057</v>
      </c>
    </row>
    <row r="28" spans="1:9" x14ac:dyDescent="0.2">
      <c r="A28" s="6">
        <f>Staffing!A33</f>
        <v>26</v>
      </c>
      <c r="B28" s="2">
        <f>(Staffing!B33/1000000)*Staffing!E$3</f>
        <v>44.746113270829007</v>
      </c>
      <c r="C28" s="2">
        <f t="shared" si="9"/>
        <v>134.63060640248531</v>
      </c>
      <c r="D28" s="2">
        <f>C28*'Results '!D$10</f>
        <v>44.428100112820154</v>
      </c>
      <c r="E28" s="3">
        <f t="shared" si="10"/>
        <v>90.202506289665166</v>
      </c>
      <c r="F28" s="2">
        <f t="shared" si="6"/>
        <v>22.373056635414503</v>
      </c>
      <c r="G28" s="3">
        <f t="shared" si="11"/>
        <v>89.884493131656299</v>
      </c>
      <c r="H28" s="2">
        <f t="shared" si="7"/>
        <v>112.2575497670708</v>
      </c>
      <c r="I28" s="3">
        <f t="shared" si="8"/>
        <v>0.23386989534806416</v>
      </c>
    </row>
    <row r="29" spans="1:9" x14ac:dyDescent="0.2">
      <c r="A29" s="6">
        <f>Staffing!A34</f>
        <v>27</v>
      </c>
      <c r="B29" s="2">
        <f>(Staffing!B34/1000000)*Staffing!E$3</f>
        <v>44.891538138959206</v>
      </c>
      <c r="C29" s="2">
        <f t="shared" si="9"/>
        <v>135.09404442862439</v>
      </c>
      <c r="D29" s="2">
        <f>C29*'Results '!D$10</f>
        <v>44.581034661446047</v>
      </c>
      <c r="E29" s="3">
        <f t="shared" si="10"/>
        <v>90.513009767178346</v>
      </c>
      <c r="F29" s="2">
        <f t="shared" si="6"/>
        <v>22.445769069479603</v>
      </c>
      <c r="G29" s="3">
        <f t="shared" si="11"/>
        <v>90.202506289665166</v>
      </c>
      <c r="H29" s="2">
        <f t="shared" si="7"/>
        <v>112.64827535914478</v>
      </c>
      <c r="I29" s="3">
        <f t="shared" si="8"/>
        <v>0.23468390699821828</v>
      </c>
    </row>
    <row r="30" spans="1:9" x14ac:dyDescent="0.2">
      <c r="A30" s="6">
        <f>Staffing!A35</f>
        <v>28</v>
      </c>
      <c r="B30" s="2">
        <f>(Staffing!B35/1000000)*Staffing!E$3</f>
        <v>45.037435637910811</v>
      </c>
      <c r="C30" s="2">
        <f t="shared" si="9"/>
        <v>135.55044540508916</v>
      </c>
      <c r="D30" s="2">
        <f>C30*'Results '!D$10</f>
        <v>44.731646983679425</v>
      </c>
      <c r="E30" s="3">
        <f t="shared" si="10"/>
        <v>90.818798421409738</v>
      </c>
      <c r="F30" s="2">
        <f t="shared" si="6"/>
        <v>22.518717818955405</v>
      </c>
      <c r="G30" s="3">
        <f t="shared" si="11"/>
        <v>90.513009767178346</v>
      </c>
      <c r="H30" s="2">
        <f t="shared" si="7"/>
        <v>113.03172758613375</v>
      </c>
      <c r="I30" s="3">
        <f t="shared" si="8"/>
        <v>0.23548276580444533</v>
      </c>
    </row>
    <row r="31" spans="1:9" x14ac:dyDescent="0.2">
      <c r="A31" s="6">
        <f>Staffing!A36</f>
        <v>29</v>
      </c>
      <c r="B31" s="2">
        <f>(Staffing!B36/1000000)*Staffing!E$3</f>
        <v>45.183807303734035</v>
      </c>
      <c r="C31" s="2">
        <f t="shared" si="9"/>
        <v>136.00260572514378</v>
      </c>
      <c r="D31" s="2">
        <f>C31*'Results '!D$10</f>
        <v>44.880859889297447</v>
      </c>
      <c r="E31" s="3">
        <f t="shared" si="10"/>
        <v>91.121745835846326</v>
      </c>
      <c r="F31" s="2">
        <f t="shared" si="6"/>
        <v>22.591903651867018</v>
      </c>
      <c r="G31" s="3">
        <f t="shared" si="11"/>
        <v>90.818798421409738</v>
      </c>
      <c r="H31" s="2">
        <f t="shared" si="7"/>
        <v>113.41070207327675</v>
      </c>
      <c r="I31" s="3">
        <f t="shared" si="8"/>
        <v>0.23627229598599322</v>
      </c>
    </row>
    <row r="32" spans="1:9" x14ac:dyDescent="0.2">
      <c r="A32" s="6">
        <f>Staffing!A37</f>
        <v>30</v>
      </c>
      <c r="B32" s="2">
        <f>(Staffing!B37/1000000)*Staffing!E$3</f>
        <v>45.330654677471159</v>
      </c>
      <c r="C32" s="2">
        <f t="shared" si="9"/>
        <v>136.45240051331749</v>
      </c>
      <c r="D32" s="2">
        <f>C32*'Results '!D$10</f>
        <v>45.029292169394772</v>
      </c>
      <c r="E32" s="3">
        <f t="shared" si="10"/>
        <v>91.423108343922706</v>
      </c>
      <c r="F32" s="2">
        <f t="shared" si="6"/>
        <v>22.66532733873558</v>
      </c>
      <c r="G32" s="3">
        <f t="shared" si="11"/>
        <v>91.121745835846326</v>
      </c>
      <c r="H32" s="2">
        <f t="shared" si="7"/>
        <v>113.78707317458191</v>
      </c>
      <c r="I32" s="3">
        <f t="shared" si="8"/>
        <v>0.23705640244704565</v>
      </c>
    </row>
    <row r="33" spans="1:9" x14ac:dyDescent="0.2">
      <c r="A33" s="6">
        <f>Staffing!A38</f>
        <v>31</v>
      </c>
      <c r="B33" s="2">
        <f>(Staffing!B38/1000000)*Staffing!E$3</f>
        <v>45.477979305172944</v>
      </c>
      <c r="C33" s="2">
        <f t="shared" si="9"/>
        <v>136.90108764909564</v>
      </c>
      <c r="D33" s="2">
        <f>C33*'Results '!D$10</f>
        <v>45.177358924201563</v>
      </c>
      <c r="E33" s="3">
        <f t="shared" si="10"/>
        <v>91.723728724894073</v>
      </c>
      <c r="F33" s="2">
        <f t="shared" si="6"/>
        <v>22.738989652586472</v>
      </c>
      <c r="G33" s="3">
        <f t="shared" si="11"/>
        <v>91.423108343922706</v>
      </c>
      <c r="H33" s="2">
        <f t="shared" si="7"/>
        <v>114.16209799650917</v>
      </c>
      <c r="I33" s="3">
        <f t="shared" si="8"/>
        <v>0.23783770415939412</v>
      </c>
    </row>
    <row r="34" spans="1:9" x14ac:dyDescent="0.2">
      <c r="A34" s="6">
        <f>Staffing!A39</f>
        <v>32</v>
      </c>
      <c r="B34" s="2">
        <f>(Staffing!B39/1000000)*Staffing!E$3</f>
        <v>45.625782737914754</v>
      </c>
      <c r="C34" s="2">
        <f t="shared" si="9"/>
        <v>137.34951146280883</v>
      </c>
      <c r="D34" s="2">
        <f>C34*'Results '!D$10</f>
        <v>45.325338782726917</v>
      </c>
      <c r="E34" s="3">
        <f t="shared" si="10"/>
        <v>92.024172680081918</v>
      </c>
      <c r="F34" s="2">
        <f t="shared" si="6"/>
        <v>22.812891368957377</v>
      </c>
      <c r="G34" s="3">
        <f t="shared" si="11"/>
        <v>91.723728724894073</v>
      </c>
      <c r="H34" s="2">
        <f t="shared" si="7"/>
        <v>114.53662009385145</v>
      </c>
      <c r="I34" s="3">
        <f t="shared" si="8"/>
        <v>0.2386179585288572</v>
      </c>
    </row>
    <row r="35" spans="1:9" x14ac:dyDescent="0.2">
      <c r="A35" s="6">
        <f>Staffing!A40</f>
        <v>33</v>
      </c>
      <c r="B35" s="2">
        <f>(Staffing!B40/1000000)*Staffing!E$3</f>
        <v>45.774066531812977</v>
      </c>
      <c r="C35" s="2">
        <f t="shared" si="9"/>
        <v>137.7982392118949</v>
      </c>
      <c r="D35" s="2">
        <f>C35*'Results '!D$10</f>
        <v>45.473418939925317</v>
      </c>
      <c r="E35" s="3">
        <f t="shared" si="10"/>
        <v>92.324820271969571</v>
      </c>
      <c r="F35" s="2">
        <f t="shared" si="6"/>
        <v>22.887033265906489</v>
      </c>
      <c r="G35" s="3">
        <f t="shared" si="11"/>
        <v>92.024172680081918</v>
      </c>
      <c r="H35" s="2">
        <f t="shared" si="7"/>
        <v>114.9112059459884</v>
      </c>
      <c r="I35" s="3">
        <f t="shared" si="8"/>
        <v>0.23939834572080917</v>
      </c>
    </row>
    <row r="36" spans="1:9" x14ac:dyDescent="0.2">
      <c r="A36" s="6">
        <f>Staffing!A41</f>
        <v>34</v>
      </c>
      <c r="B36" s="2">
        <f>(Staffing!B41/1000000)*Staffing!E$3</f>
        <v>45.922832248041374</v>
      </c>
      <c r="C36" s="2">
        <f t="shared" si="9"/>
        <v>138.24765252001094</v>
      </c>
      <c r="D36" s="2">
        <f>C36*'Results '!D$10</f>
        <v>45.621725331603614</v>
      </c>
      <c r="E36" s="3">
        <f t="shared" si="10"/>
        <v>92.625927188407331</v>
      </c>
      <c r="F36" s="2">
        <f t="shared" ref="F36:F51" si="12">B36*F$1</f>
        <v>22.961416124020687</v>
      </c>
      <c r="G36" s="3">
        <f t="shared" si="11"/>
        <v>92.324820271969571</v>
      </c>
      <c r="H36" s="2">
        <f t="shared" ref="H36:H51" si="13">F36+G36</f>
        <v>115.28623639599026</v>
      </c>
      <c r="I36" s="3">
        <f t="shared" ref="I36:I51" si="14">H36/I$1</f>
        <v>0.24017965915831305</v>
      </c>
    </row>
    <row r="37" spans="1:9" x14ac:dyDescent="0.2">
      <c r="A37" s="6">
        <f>Staffing!A42</f>
        <v>35</v>
      </c>
      <c r="B37" s="2">
        <f>(Staffing!B42/1000000)*Staffing!E$3</f>
        <v>46.072081452847492</v>
      </c>
      <c r="C37" s="2">
        <f t="shared" ref="C37:C52" si="15">E36+B37</f>
        <v>138.69800864125483</v>
      </c>
      <c r="D37" s="2">
        <f>C37*'Results '!D$10</f>
        <v>45.770342851614096</v>
      </c>
      <c r="E37" s="3">
        <f t="shared" ref="E37:E52" si="16">C37-D37</f>
        <v>92.927665789640741</v>
      </c>
      <c r="F37" s="2">
        <f t="shared" si="12"/>
        <v>23.036040726423746</v>
      </c>
      <c r="G37" s="3">
        <f t="shared" ref="G37:G52" si="17">E36*G$1</f>
        <v>92.625927188407331</v>
      </c>
      <c r="H37" s="2">
        <f t="shared" si="13"/>
        <v>115.66196791483108</v>
      </c>
      <c r="I37" s="3">
        <f t="shared" si="14"/>
        <v>0.24096243315589808</v>
      </c>
    </row>
    <row r="38" spans="1:9" s="19" customFormat="1" x14ac:dyDescent="0.2">
      <c r="A38" s="15">
        <f>Staffing!A43</f>
        <v>36</v>
      </c>
      <c r="B38" s="18">
        <f>(Staffing!B43/1000000)*Staffing!E$3</f>
        <v>46.221815717569243</v>
      </c>
      <c r="C38" s="18">
        <f t="shared" si="15"/>
        <v>139.14948150721</v>
      </c>
      <c r="D38" s="18">
        <f>C38*'Results '!D$10</f>
        <v>45.919328897379302</v>
      </c>
      <c r="E38" s="5">
        <f t="shared" si="16"/>
        <v>93.230152609830697</v>
      </c>
      <c r="F38" s="18">
        <f t="shared" si="12"/>
        <v>23.110907858784621</v>
      </c>
      <c r="G38" s="5">
        <f t="shared" si="17"/>
        <v>92.927665789640741</v>
      </c>
      <c r="H38" s="18">
        <f t="shared" si="13"/>
        <v>116.03857364842537</v>
      </c>
      <c r="I38" s="5">
        <f t="shared" si="14"/>
        <v>0.24174702843421952</v>
      </c>
    </row>
    <row r="39" spans="1:9" x14ac:dyDescent="0.2">
      <c r="A39" s="6">
        <f>Staffing!A44</f>
        <v>37</v>
      </c>
      <c r="B39" s="2">
        <f>(Staffing!B44/1000000)*Staffing!E$3</f>
        <v>46.37203661865135</v>
      </c>
      <c r="C39" s="2">
        <f t="shared" si="15"/>
        <v>139.60218922848205</v>
      </c>
      <c r="D39" s="2">
        <f>C39*'Results '!D$10</f>
        <v>46.068722445399075</v>
      </c>
      <c r="E39" s="3">
        <f t="shared" si="16"/>
        <v>93.533466783082972</v>
      </c>
      <c r="F39" s="2">
        <f t="shared" si="12"/>
        <v>23.186018309325675</v>
      </c>
      <c r="G39" s="3">
        <f t="shared" si="17"/>
        <v>93.230152609830697</v>
      </c>
      <c r="H39" s="2">
        <f t="shared" si="13"/>
        <v>116.41617091915637</v>
      </c>
      <c r="I39" s="3">
        <f t="shared" si="14"/>
        <v>0.2425336894149091</v>
      </c>
    </row>
    <row r="40" spans="1:9" x14ac:dyDescent="0.2">
      <c r="A40" s="6">
        <f>Staffing!A45</f>
        <v>38</v>
      </c>
      <c r="B40" s="2">
        <f>(Staffing!B45/1000000)*Staffing!E$3</f>
        <v>46.522745737661964</v>
      </c>
      <c r="C40" s="2">
        <f t="shared" si="15"/>
        <v>140.05621252074494</v>
      </c>
      <c r="D40" s="2">
        <f>C40*'Results '!D$10</f>
        <v>46.218550131845831</v>
      </c>
      <c r="E40" s="3">
        <f t="shared" si="16"/>
        <v>93.837662388899105</v>
      </c>
      <c r="F40" s="2">
        <f t="shared" si="12"/>
        <v>23.261372868830982</v>
      </c>
      <c r="G40" s="3">
        <f t="shared" si="17"/>
        <v>93.533466783082972</v>
      </c>
      <c r="H40" s="2">
        <f t="shared" si="13"/>
        <v>116.79483965191395</v>
      </c>
      <c r="I40" s="3">
        <f t="shared" si="14"/>
        <v>0.24332258260815406</v>
      </c>
    </row>
    <row r="41" spans="1:9" x14ac:dyDescent="0.2">
      <c r="A41" s="6">
        <f>Staffing!A46</f>
        <v>39</v>
      </c>
      <c r="B41" s="2">
        <f>(Staffing!B46/1000000)*Staffing!E$3</f>
        <v>46.673944661309363</v>
      </c>
      <c r="C41" s="2">
        <f t="shared" si="15"/>
        <v>140.51160705020845</v>
      </c>
      <c r="D41" s="2">
        <f>C41*'Results '!D$10</f>
        <v>46.368830326568791</v>
      </c>
      <c r="E41" s="3">
        <f t="shared" si="16"/>
        <v>94.142776723639656</v>
      </c>
      <c r="F41" s="2">
        <f t="shared" si="12"/>
        <v>23.336972330654682</v>
      </c>
      <c r="G41" s="3">
        <f t="shared" si="17"/>
        <v>93.837662388899105</v>
      </c>
      <c r="H41" s="2">
        <f t="shared" si="13"/>
        <v>117.17463471955378</v>
      </c>
      <c r="I41" s="3">
        <f t="shared" si="14"/>
        <v>0.2441138223324037</v>
      </c>
    </row>
    <row r="42" spans="1:9" x14ac:dyDescent="0.2">
      <c r="A42" s="6">
        <f>Staffing!A47</f>
        <v>40</v>
      </c>
      <c r="B42" s="2">
        <f>(Staffing!B47/1000000)*Staffing!E$3</f>
        <v>46.82563498145862</v>
      </c>
      <c r="C42" s="2">
        <f t="shared" si="15"/>
        <v>140.96841170509828</v>
      </c>
      <c r="D42" s="2">
        <f>C42*'Results '!D$10</f>
        <v>46.51957586268243</v>
      </c>
      <c r="E42" s="3">
        <f t="shared" si="16"/>
        <v>94.448835842415846</v>
      </c>
      <c r="F42" s="2">
        <f t="shared" si="12"/>
        <v>23.41281749072931</v>
      </c>
      <c r="G42" s="3">
        <f t="shared" si="17"/>
        <v>94.142776723639656</v>
      </c>
      <c r="H42" s="2">
        <f t="shared" si="13"/>
        <v>117.55559421436897</v>
      </c>
      <c r="I42" s="3">
        <f t="shared" si="14"/>
        <v>0.24490748794660203</v>
      </c>
    </row>
    <row r="43" spans="1:9" x14ac:dyDescent="0.2">
      <c r="A43" s="6">
        <f>Staffing!A48</f>
        <v>41</v>
      </c>
      <c r="B43" s="2">
        <f>(Staffing!B48/1000000)*Staffing!E$3</f>
        <v>46.977818295148367</v>
      </c>
      <c r="C43" s="2">
        <f t="shared" si="15"/>
        <v>141.42665413756421</v>
      </c>
      <c r="D43" s="2">
        <f>C43*'Results '!D$10</f>
        <v>46.670795865396194</v>
      </c>
      <c r="E43" s="3">
        <f t="shared" si="16"/>
        <v>94.755858272168012</v>
      </c>
      <c r="F43" s="2">
        <f t="shared" si="12"/>
        <v>23.488909147574184</v>
      </c>
      <c r="G43" s="3">
        <f t="shared" si="17"/>
        <v>94.448835842415846</v>
      </c>
      <c r="H43" s="2">
        <f t="shared" si="13"/>
        <v>117.93774498999002</v>
      </c>
      <c r="I43" s="3">
        <f t="shared" si="14"/>
        <v>0.24570363539581255</v>
      </c>
    </row>
    <row r="44" spans="1:9" x14ac:dyDescent="0.2">
      <c r="A44" s="6">
        <f>Staffing!A49</f>
        <v>42</v>
      </c>
      <c r="B44" s="2">
        <f>(Staffing!B49/1000000)*Staffing!E$3</f>
        <v>47.130496204607589</v>
      </c>
      <c r="C44" s="2">
        <f t="shared" si="15"/>
        <v>141.88635447677561</v>
      </c>
      <c r="D44" s="2">
        <f>C44*'Results '!D$10</f>
        <v>46.822496977335952</v>
      </c>
      <c r="E44" s="3">
        <f t="shared" si="16"/>
        <v>95.063857499439649</v>
      </c>
      <c r="F44" s="2">
        <f t="shared" si="12"/>
        <v>23.565248102303794</v>
      </c>
      <c r="G44" s="3">
        <f t="shared" si="17"/>
        <v>94.755858272168012</v>
      </c>
      <c r="H44" s="2">
        <f t="shared" si="13"/>
        <v>118.32110637447181</v>
      </c>
      <c r="I44" s="3">
        <f t="shared" si="14"/>
        <v>0.24650230494681627</v>
      </c>
    </row>
    <row r="45" spans="1:9" x14ac:dyDescent="0.2">
      <c r="A45" s="6">
        <f>Staffing!A50</f>
        <v>43</v>
      </c>
      <c r="B45" s="2">
        <f>(Staffing!B50/1000000)*Staffing!E$3</f>
        <v>47.283670317272559</v>
      </c>
      <c r="C45" s="2">
        <f t="shared" si="15"/>
        <v>142.34752781671222</v>
      </c>
      <c r="D45" s="2">
        <f>C45*'Results '!D$10</f>
        <v>46.97468417951503</v>
      </c>
      <c r="E45" s="3">
        <f t="shared" si="16"/>
        <v>95.372843637197178</v>
      </c>
      <c r="F45" s="2">
        <f t="shared" si="12"/>
        <v>23.64183515863628</v>
      </c>
      <c r="G45" s="3">
        <f t="shared" si="17"/>
        <v>95.063857499439649</v>
      </c>
      <c r="H45" s="2">
        <f t="shared" si="13"/>
        <v>118.70569265807593</v>
      </c>
      <c r="I45" s="3">
        <f t="shared" si="14"/>
        <v>0.24730352637099154</v>
      </c>
    </row>
    <row r="46" spans="1:9" x14ac:dyDescent="0.2">
      <c r="A46" s="6">
        <f>Staffing!A51</f>
        <v>44</v>
      </c>
      <c r="B46" s="2">
        <f>(Staffing!B51/1000000)*Staffing!E$3</f>
        <v>47.437342245803698</v>
      </c>
      <c r="C46" s="2">
        <f t="shared" si="15"/>
        <v>142.81018588300088</v>
      </c>
      <c r="D46" s="2">
        <f>C46*'Results '!D$10</f>
        <v>47.127361341390291</v>
      </c>
      <c r="E46" s="3">
        <f t="shared" si="16"/>
        <v>95.682824541610586</v>
      </c>
      <c r="F46" s="2">
        <f t="shared" si="12"/>
        <v>23.718671122901849</v>
      </c>
      <c r="G46" s="3">
        <f t="shared" si="17"/>
        <v>95.372843637197178</v>
      </c>
      <c r="H46" s="2">
        <f t="shared" si="13"/>
        <v>119.09151476009903</v>
      </c>
      <c r="I46" s="3">
        <f t="shared" si="14"/>
        <v>0.24810732241687297</v>
      </c>
    </row>
    <row r="47" spans="1:9" x14ac:dyDescent="0.2">
      <c r="A47" s="6">
        <f>Staffing!A52</f>
        <v>45</v>
      </c>
      <c r="B47" s="2">
        <f>(Staffing!B52/1000000)*Staffing!E$3</f>
        <v>47.591513608102552</v>
      </c>
      <c r="C47" s="2">
        <f t="shared" si="15"/>
        <v>143.27433814971315</v>
      </c>
      <c r="D47" s="2">
        <f>C47*'Results '!D$10</f>
        <v>47.280531589405342</v>
      </c>
      <c r="E47" s="3">
        <f t="shared" si="16"/>
        <v>95.993806560307803</v>
      </c>
      <c r="F47" s="2">
        <f t="shared" si="12"/>
        <v>23.795756804051276</v>
      </c>
      <c r="G47" s="3">
        <f t="shared" si="17"/>
        <v>95.682824541610586</v>
      </c>
      <c r="H47" s="2">
        <f t="shared" si="13"/>
        <v>119.47858134566187</v>
      </c>
      <c r="I47" s="3">
        <f t="shared" si="14"/>
        <v>0.24891371113679556</v>
      </c>
    </row>
    <row r="48" spans="1:9" x14ac:dyDescent="0.2">
      <c r="A48" s="6">
        <f>Staffing!A53</f>
        <v>46</v>
      </c>
      <c r="B48" s="2">
        <f>(Staffing!B53/1000000)*Staffing!E$3</f>
        <v>47.746186027328896</v>
      </c>
      <c r="C48" s="2">
        <f t="shared" si="15"/>
        <v>143.73999258763669</v>
      </c>
      <c r="D48" s="2">
        <f>C48*'Results '!D$10</f>
        <v>47.434197553920107</v>
      </c>
      <c r="E48" s="3">
        <f t="shared" si="16"/>
        <v>96.305795033716578</v>
      </c>
      <c r="F48" s="2">
        <f t="shared" si="12"/>
        <v>23.873093013664448</v>
      </c>
      <c r="G48" s="3">
        <f t="shared" si="17"/>
        <v>95.993806560307803</v>
      </c>
      <c r="H48" s="2">
        <f t="shared" si="13"/>
        <v>119.86689957397225</v>
      </c>
      <c r="I48" s="3">
        <f t="shared" si="14"/>
        <v>0.24972270744577552</v>
      </c>
    </row>
    <row r="49" spans="1:9" x14ac:dyDescent="0.2">
      <c r="A49" s="6">
        <f>Staffing!A54</f>
        <v>47</v>
      </c>
      <c r="B49" s="2">
        <f>(Staffing!B54/1000000)*Staffing!E$3</f>
        <v>47.90136113191771</v>
      </c>
      <c r="C49" s="2">
        <f t="shared" si="15"/>
        <v>144.20715616563427</v>
      </c>
      <c r="D49" s="2">
        <f>C49*'Results '!D$10</f>
        <v>47.588361534659313</v>
      </c>
      <c r="E49" s="3">
        <f t="shared" si="16"/>
        <v>96.618794630974961</v>
      </c>
      <c r="F49" s="2">
        <f t="shared" si="12"/>
        <v>23.950680565958855</v>
      </c>
      <c r="G49" s="3">
        <f t="shared" si="17"/>
        <v>96.305795033716578</v>
      </c>
      <c r="H49" s="2">
        <f t="shared" si="13"/>
        <v>120.25647559967544</v>
      </c>
      <c r="I49" s="3">
        <f t="shared" si="14"/>
        <v>0.25053432416599047</v>
      </c>
    </row>
    <row r="50" spans="1:9" s="19" customFormat="1" x14ac:dyDescent="0.2">
      <c r="A50" s="15">
        <f>Staffing!A55</f>
        <v>48</v>
      </c>
      <c r="B50" s="18">
        <f>(Staffing!B55/1000000)*Staffing!E$3</f>
        <v>48.057040555596444</v>
      </c>
      <c r="C50" s="18">
        <f t="shared" si="15"/>
        <v>144.67583518657142</v>
      </c>
      <c r="D50" s="18">
        <f>C50*'Results '!D$10</f>
        <v>47.743025611568569</v>
      </c>
      <c r="E50" s="5">
        <f t="shared" si="16"/>
        <v>96.93280957500285</v>
      </c>
      <c r="F50" s="18">
        <f t="shared" si="12"/>
        <v>24.028520277798222</v>
      </c>
      <c r="G50" s="5">
        <f t="shared" si="17"/>
        <v>96.618794630974961</v>
      </c>
      <c r="H50" s="18">
        <f t="shared" si="13"/>
        <v>120.64731490877318</v>
      </c>
      <c r="I50" s="5">
        <f t="shared" si="14"/>
        <v>0.25134857272661082</v>
      </c>
    </row>
    <row r="51" spans="1:9" x14ac:dyDescent="0.2">
      <c r="A51" s="6">
        <f>Staffing!A56</f>
        <v>49</v>
      </c>
      <c r="B51" s="2">
        <f>(Staffing!B56/1000000)*Staffing!E$3</f>
        <v>48.213225937402129</v>
      </c>
      <c r="C51" s="2">
        <f t="shared" si="15"/>
        <v>145.14603551240498</v>
      </c>
      <c r="D51" s="2">
        <f>C51*'Results '!D$10</f>
        <v>47.898191719093646</v>
      </c>
      <c r="E51" s="3">
        <f t="shared" si="16"/>
        <v>97.247843793311333</v>
      </c>
      <c r="F51" s="2">
        <f t="shared" si="12"/>
        <v>24.106612968701064</v>
      </c>
      <c r="G51" s="3">
        <f t="shared" si="17"/>
        <v>96.93280957500285</v>
      </c>
      <c r="H51" s="2">
        <f t="shared" si="13"/>
        <v>121.03942254370392</v>
      </c>
      <c r="I51" s="3">
        <f t="shared" si="14"/>
        <v>0.25216546363271652</v>
      </c>
    </row>
    <row r="52" spans="1:9" x14ac:dyDescent="0.2">
      <c r="A52" s="6">
        <f>Staffing!A57</f>
        <v>50</v>
      </c>
      <c r="B52" s="2">
        <f>(Staffing!B57/1000000)*Staffing!E$3</f>
        <v>48.369918921698691</v>
      </c>
      <c r="C52" s="2">
        <f t="shared" si="15"/>
        <v>145.61776271501003</v>
      </c>
      <c r="D52" s="2">
        <f>C52*'Results '!D$10</f>
        <v>48.053861695953316</v>
      </c>
      <c r="E52" s="3">
        <f t="shared" si="16"/>
        <v>97.563901019056715</v>
      </c>
      <c r="F52" s="2">
        <f t="shared" ref="F52:F62" si="18">B52*F$1</f>
        <v>24.184959460849345</v>
      </c>
      <c r="G52" s="3">
        <f t="shared" si="17"/>
        <v>97.247843793311333</v>
      </c>
      <c r="H52" s="2">
        <f t="shared" ref="H52:H62" si="19">F52+G52</f>
        <v>121.43280325416067</v>
      </c>
      <c r="I52" s="3">
        <f t="shared" ref="I52:I62" si="20">H52/I$1</f>
        <v>0.25298500677950142</v>
      </c>
    </row>
    <row r="53" spans="1:9" x14ac:dyDescent="0.2">
      <c r="A53" s="6">
        <f>Staffing!A58</f>
        <v>51</v>
      </c>
      <c r="B53" s="2">
        <f>(Staffing!B58/1000000)*Staffing!E$3</f>
        <v>48.527121158194213</v>
      </c>
      <c r="C53" s="2">
        <f t="shared" ref="C53:C62" si="21">E52+B53</f>
        <v>146.09102217725092</v>
      </c>
      <c r="D53" s="2">
        <f>C53*'Results '!D$10</f>
        <v>48.210037318492809</v>
      </c>
      <c r="E53" s="3">
        <f t="shared" ref="E53:E62" si="22">C53-D53</f>
        <v>97.880984858758111</v>
      </c>
      <c r="F53" s="2">
        <f t="shared" si="18"/>
        <v>24.263560579097106</v>
      </c>
      <c r="G53" s="3">
        <f t="shared" ref="G53:G62" si="23">E52*G$1</f>
        <v>97.563901019056715</v>
      </c>
      <c r="H53" s="2">
        <f t="shared" si="19"/>
        <v>121.82746159815382</v>
      </c>
      <c r="I53" s="3">
        <f t="shared" si="20"/>
        <v>0.25380721166282044</v>
      </c>
    </row>
    <row r="54" spans="1:9" x14ac:dyDescent="0.2">
      <c r="A54" s="6">
        <f>Staffing!A59</f>
        <v>52</v>
      </c>
      <c r="B54" s="2">
        <f>(Staffing!B59/1000000)*Staffing!E$3</f>
        <v>48.684834301958347</v>
      </c>
      <c r="C54" s="2">
        <f t="shared" si="21"/>
        <v>146.56581916071644</v>
      </c>
      <c r="D54" s="2">
        <f>C54*'Results '!D$10</f>
        <v>48.366720323036432</v>
      </c>
      <c r="E54" s="3">
        <f t="shared" si="22"/>
        <v>98.199098837680012</v>
      </c>
      <c r="F54" s="2">
        <f t="shared" si="18"/>
        <v>24.342417150979173</v>
      </c>
      <c r="G54" s="3">
        <f t="shared" si="23"/>
        <v>97.880984858758111</v>
      </c>
      <c r="H54" s="2">
        <f t="shared" si="19"/>
        <v>122.22340200973728</v>
      </c>
      <c r="I54" s="3">
        <f t="shared" si="20"/>
        <v>0.25463208752028599</v>
      </c>
    </row>
    <row r="55" spans="1:9" x14ac:dyDescent="0.2">
      <c r="A55" s="6">
        <f>Staffing!A60</f>
        <v>53</v>
      </c>
      <c r="B55" s="2">
        <f>(Staffing!B60/1000000)*Staffing!E$3</f>
        <v>48.843060013439704</v>
      </c>
      <c r="C55" s="2">
        <f t="shared" si="21"/>
        <v>147.04215885111972</v>
      </c>
      <c r="D55" s="2">
        <f>C55*'Results '!D$10</f>
        <v>48.523912420869507</v>
      </c>
      <c r="E55" s="3">
        <f t="shared" si="22"/>
        <v>98.518246430250215</v>
      </c>
      <c r="F55" s="2">
        <f t="shared" si="18"/>
        <v>24.421530006719852</v>
      </c>
      <c r="G55" s="3">
        <f t="shared" si="23"/>
        <v>98.199098837680012</v>
      </c>
      <c r="H55" s="2">
        <f t="shared" si="19"/>
        <v>122.62062884439986</v>
      </c>
      <c r="I55" s="3">
        <f t="shared" si="20"/>
        <v>0.25545964342583305</v>
      </c>
    </row>
    <row r="56" spans="1:9" x14ac:dyDescent="0.2">
      <c r="A56" s="6">
        <f>Staffing!A61</f>
        <v>54</v>
      </c>
      <c r="B56" s="2">
        <f>(Staffing!B61/1000000)*Staffing!E$3</f>
        <v>49.001799958483382</v>
      </c>
      <c r="C56" s="2">
        <f t="shared" si="21"/>
        <v>147.52004638873359</v>
      </c>
      <c r="D56" s="2">
        <f>C56*'Results '!D$10</f>
        <v>48.68161530828209</v>
      </c>
      <c r="E56" s="3">
        <f t="shared" si="22"/>
        <v>98.8384310804515</v>
      </c>
      <c r="F56" s="2">
        <f t="shared" si="18"/>
        <v>24.500899979241691</v>
      </c>
      <c r="G56" s="3">
        <f t="shared" si="23"/>
        <v>98.518246430250215</v>
      </c>
      <c r="H56" s="2">
        <f t="shared" si="19"/>
        <v>123.01914640949191</v>
      </c>
      <c r="I56" s="3">
        <f t="shared" si="20"/>
        <v>0.25628988835310812</v>
      </c>
    </row>
    <row r="57" spans="1:9" x14ac:dyDescent="0.2">
      <c r="A57" s="6">
        <f>Staffing!A62</f>
        <v>55</v>
      </c>
      <c r="B57" s="2">
        <f>(Staffing!B62/1000000)*Staffing!E$3</f>
        <v>49.161055808348443</v>
      </c>
      <c r="C57" s="2">
        <f t="shared" si="21"/>
        <v>147.99948688879994</v>
      </c>
      <c r="D57" s="2">
        <f>C57*'Results '!D$10</f>
        <v>48.839830673303979</v>
      </c>
      <c r="E57" s="3">
        <f t="shared" si="22"/>
        <v>99.159656215495957</v>
      </c>
      <c r="F57" s="2">
        <f t="shared" si="18"/>
        <v>24.580527904174222</v>
      </c>
      <c r="G57" s="3">
        <f t="shared" si="23"/>
        <v>98.8384310804515</v>
      </c>
      <c r="H57" s="2">
        <f t="shared" si="19"/>
        <v>123.41895898462572</v>
      </c>
      <c r="I57" s="3">
        <f t="shared" si="20"/>
        <v>0.25712283121797025</v>
      </c>
    </row>
    <row r="58" spans="1:9" x14ac:dyDescent="0.2">
      <c r="A58" s="6">
        <f>Staffing!A63</f>
        <v>56</v>
      </c>
      <c r="B58" s="2">
        <f>(Staffing!B63/1000000)*Staffing!E$3</f>
        <v>49.320829239725597</v>
      </c>
      <c r="C58" s="2">
        <f t="shared" si="21"/>
        <v>148.48048545522155</v>
      </c>
      <c r="D58" s="2">
        <f>C58*'Results '!D$10</f>
        <v>48.998560200223118</v>
      </c>
      <c r="E58" s="3">
        <f t="shared" si="22"/>
        <v>99.48192525499843</v>
      </c>
      <c r="F58" s="2">
        <f t="shared" si="18"/>
        <v>24.660414619862799</v>
      </c>
      <c r="G58" s="3">
        <f t="shared" si="23"/>
        <v>99.159656215495957</v>
      </c>
      <c r="H58" s="2">
        <f t="shared" si="19"/>
        <v>123.82007083535876</v>
      </c>
      <c r="I58" s="3">
        <f t="shared" si="20"/>
        <v>0.25795848090699741</v>
      </c>
    </row>
    <row r="59" spans="1:9" x14ac:dyDescent="0.2">
      <c r="A59" s="6">
        <f>Staffing!A64</f>
        <v>57</v>
      </c>
      <c r="B59" s="2">
        <f>(Staffing!B64/1000000)*Staffing!E$3</f>
        <v>49.481121934754704</v>
      </c>
      <c r="C59" s="2">
        <f t="shared" si="21"/>
        <v>148.96304718975313</v>
      </c>
      <c r="D59" s="2">
        <f>C59*'Results '!D$10</f>
        <v>49.157805572618535</v>
      </c>
      <c r="E59" s="3">
        <f t="shared" si="22"/>
        <v>99.805241617134584</v>
      </c>
      <c r="F59" s="2">
        <f t="shared" si="18"/>
        <v>24.740560967377352</v>
      </c>
      <c r="G59" s="3">
        <f t="shared" si="23"/>
        <v>99.48192525499843</v>
      </c>
      <c r="H59" s="2">
        <f t="shared" si="19"/>
        <v>124.22248622237578</v>
      </c>
      <c r="I59" s="3">
        <f t="shared" si="20"/>
        <v>0.2587968462966162</v>
      </c>
    </row>
    <row r="60" spans="1:9" x14ac:dyDescent="0.2">
      <c r="A60" s="6">
        <f>Staffing!A65</f>
        <v>58</v>
      </c>
      <c r="B60" s="2">
        <f>(Staffing!B65/1000000)*Staffing!E$3</f>
        <v>49.641935581042645</v>
      </c>
      <c r="C60" s="2">
        <f t="shared" si="21"/>
        <v>149.44717719817723</v>
      </c>
      <c r="D60" s="2">
        <f>C60*'Results '!D$10</f>
        <v>49.317568475398488</v>
      </c>
      <c r="E60" s="3">
        <f t="shared" si="22"/>
        <v>100.12960872277874</v>
      </c>
      <c r="F60" s="2">
        <f t="shared" si="18"/>
        <v>24.820967790521323</v>
      </c>
      <c r="G60" s="3">
        <f t="shared" si="23"/>
        <v>99.805241617134584</v>
      </c>
      <c r="H60" s="2">
        <f t="shared" si="19"/>
        <v>124.62620940765591</v>
      </c>
      <c r="I60" s="3">
        <f t="shared" si="20"/>
        <v>0.25963793626594983</v>
      </c>
    </row>
    <row r="61" spans="1:9" x14ac:dyDescent="0.2">
      <c r="A61" s="6">
        <f>Staffing!A66</f>
        <v>59</v>
      </c>
      <c r="B61" s="2">
        <f>(Staffing!B66/1000000)*Staffing!E$3</f>
        <v>49.803271871681041</v>
      </c>
      <c r="C61" s="2">
        <f t="shared" si="21"/>
        <v>149.93288059445979</v>
      </c>
      <c r="D61" s="2">
        <f>C61*'Results '!D$10</f>
        <v>49.477850596171734</v>
      </c>
      <c r="E61" s="3">
        <f t="shared" si="22"/>
        <v>100.45502999828805</v>
      </c>
      <c r="F61" s="2">
        <f t="shared" si="18"/>
        <v>24.90163593584052</v>
      </c>
      <c r="G61" s="3">
        <f t="shared" si="23"/>
        <v>100.12960872277874</v>
      </c>
      <c r="H61" s="2">
        <f t="shared" si="19"/>
        <v>125.03124465861926</v>
      </c>
      <c r="I61" s="3">
        <f t="shared" si="20"/>
        <v>0.26048175970545678</v>
      </c>
    </row>
    <row r="62" spans="1:9" s="19" customFormat="1" x14ac:dyDescent="0.2">
      <c r="A62" s="15">
        <f>Staffing!A67</f>
        <v>60</v>
      </c>
      <c r="B62" s="18">
        <f>(Staffing!B67/1000000)*Staffing!E$3</f>
        <v>49.965132505263995</v>
      </c>
      <c r="C62" s="18">
        <f t="shared" si="21"/>
        <v>150.42016250355204</v>
      </c>
      <c r="D62" s="18">
        <f>C62*'Results '!D$10</f>
        <v>49.638653626172172</v>
      </c>
      <c r="E62" s="5">
        <f t="shared" si="22"/>
        <v>100.78150887737986</v>
      </c>
      <c r="F62" s="18">
        <f t="shared" si="18"/>
        <v>24.982566252631997</v>
      </c>
      <c r="G62" s="5">
        <f t="shared" si="23"/>
        <v>100.45502999828805</v>
      </c>
      <c r="H62" s="18">
        <f t="shared" si="19"/>
        <v>125.43759625092005</v>
      </c>
      <c r="I62" s="5">
        <f t="shared" si="20"/>
        <v>0.26132832552275009</v>
      </c>
    </row>
    <row r="63" spans="1:9" x14ac:dyDescent="0.2">
      <c r="A63" s="6"/>
      <c r="B63" s="2">
        <f>SUM(B3:B62)</f>
        <v>2500.7751341249718</v>
      </c>
      <c r="C63" s="2"/>
      <c r="D63" s="2"/>
      <c r="E63" s="2"/>
      <c r="F63" s="2"/>
      <c r="G63" s="2"/>
      <c r="H63" s="2"/>
    </row>
    <row r="64" spans="1:9" x14ac:dyDescent="0.2">
      <c r="A64" s="6"/>
      <c r="B64" s="2"/>
      <c r="C64" s="2"/>
      <c r="D64" s="2"/>
      <c r="E64" s="2"/>
      <c r="F64" s="2"/>
      <c r="G64" s="2"/>
      <c r="H64" s="2"/>
    </row>
    <row r="65" spans="1:8" x14ac:dyDescent="0.2">
      <c r="A65" s="6"/>
      <c r="B65" s="2"/>
      <c r="C65" s="2"/>
      <c r="D65" s="2"/>
      <c r="E65" s="2"/>
      <c r="F65" s="2"/>
      <c r="G65" s="2"/>
      <c r="H65" s="2"/>
    </row>
  </sheetData>
  <phoneticPr fontId="0" type="noConversion"/>
  <printOptions gridLines="1" gridLinesSet="0"/>
  <pageMargins left="0.75" right="0.75" top="1" bottom="1" header="0.5" footer="0.5"/>
  <pageSetup scale="75"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0"/>
  <sheetViews>
    <sheetView topLeftCell="A53" workbookViewId="0">
      <selection activeCell="A63" sqref="A63"/>
    </sheetView>
  </sheetViews>
  <sheetFormatPr defaultRowHeight="12.75" x14ac:dyDescent="0.2"/>
  <cols>
    <col min="1" max="1" width="8" customWidth="1"/>
    <col min="5" max="5" width="10.28515625" customWidth="1"/>
  </cols>
  <sheetData>
    <row r="1" spans="1:6" ht="38.25" x14ac:dyDescent="0.2">
      <c r="A1" s="29" t="s">
        <v>166</v>
      </c>
      <c r="B1" s="29" t="s">
        <v>205</v>
      </c>
      <c r="C1" s="29" t="s">
        <v>206</v>
      </c>
      <c r="D1" s="50" t="s">
        <v>207</v>
      </c>
      <c r="E1" s="50" t="s">
        <v>208</v>
      </c>
      <c r="F1" s="49" t="s">
        <v>209</v>
      </c>
    </row>
    <row r="2" spans="1:6" x14ac:dyDescent="0.2">
      <c r="A2" s="6">
        <v>1</v>
      </c>
      <c r="B2" s="6">
        <v>100</v>
      </c>
      <c r="C2" s="3">
        <f t="shared" ref="C2:C36" si="0">B2*F$2</f>
        <v>8.5</v>
      </c>
      <c r="D2" s="14">
        <f>C2</f>
        <v>8.5</v>
      </c>
      <c r="E2" s="10">
        <f>D2/B$2</f>
        <v>8.5000000000000006E-2</v>
      </c>
      <c r="F2" s="10">
        <f>'Results '!B9</f>
        <v>8.5000000000000006E-2</v>
      </c>
    </row>
    <row r="3" spans="1:6" x14ac:dyDescent="0.2">
      <c r="A3" s="6">
        <f>A2+1</f>
        <v>2</v>
      </c>
      <c r="B3" s="2">
        <f>B2-C2</f>
        <v>91.5</v>
      </c>
      <c r="C3" s="3">
        <f t="shared" si="0"/>
        <v>7.7775000000000007</v>
      </c>
      <c r="D3" s="14">
        <f>C3+D2</f>
        <v>16.2775</v>
      </c>
      <c r="E3" s="10">
        <f>D3/B$2</f>
        <v>0.162775</v>
      </c>
    </row>
    <row r="4" spans="1:6" x14ac:dyDescent="0.2">
      <c r="A4" s="6">
        <f t="shared" ref="A4:A19" si="1">A3+1</f>
        <v>3</v>
      </c>
      <c r="B4" s="2">
        <f t="shared" ref="B4:B19" si="2">B3-C3</f>
        <v>83.722499999999997</v>
      </c>
      <c r="C4" s="3">
        <f t="shared" si="0"/>
        <v>7.1164125</v>
      </c>
      <c r="D4" s="14">
        <f t="shared" ref="D4:D19" si="3">C4+D3</f>
        <v>23.393912499999999</v>
      </c>
      <c r="E4" s="10">
        <f t="shared" ref="E4:E19" si="4">D4/B$2</f>
        <v>0.233939125</v>
      </c>
    </row>
    <row r="5" spans="1:6" x14ac:dyDescent="0.2">
      <c r="A5" s="6">
        <f t="shared" si="1"/>
        <v>4</v>
      </c>
      <c r="B5" s="2">
        <f t="shared" si="2"/>
        <v>76.606087500000001</v>
      </c>
      <c r="C5" s="3">
        <f t="shared" si="0"/>
        <v>6.5115174375000002</v>
      </c>
      <c r="D5" s="14">
        <f t="shared" si="3"/>
        <v>29.905429937499999</v>
      </c>
      <c r="E5" s="10">
        <f t="shared" si="4"/>
        <v>0.299054299375</v>
      </c>
    </row>
    <row r="6" spans="1:6" x14ac:dyDescent="0.2">
      <c r="A6" s="6">
        <f t="shared" si="1"/>
        <v>5</v>
      </c>
      <c r="B6" s="2">
        <f t="shared" si="2"/>
        <v>70.094570062499997</v>
      </c>
      <c r="C6" s="3">
        <f t="shared" si="0"/>
        <v>5.9580384553124999</v>
      </c>
      <c r="D6" s="14">
        <f t="shared" si="3"/>
        <v>35.8634683928125</v>
      </c>
      <c r="E6" s="10">
        <f t="shared" si="4"/>
        <v>0.35863468392812498</v>
      </c>
    </row>
    <row r="7" spans="1:6" x14ac:dyDescent="0.2">
      <c r="A7" s="6">
        <f t="shared" si="1"/>
        <v>6</v>
      </c>
      <c r="B7" s="2">
        <f t="shared" si="2"/>
        <v>64.136531607187493</v>
      </c>
      <c r="C7" s="3">
        <f t="shared" si="0"/>
        <v>5.4516051866109372</v>
      </c>
      <c r="D7" s="14">
        <f t="shared" si="3"/>
        <v>41.315073579423441</v>
      </c>
      <c r="E7" s="10">
        <f t="shared" si="4"/>
        <v>0.41315073579423439</v>
      </c>
    </row>
    <row r="8" spans="1:6" x14ac:dyDescent="0.2">
      <c r="A8" s="6">
        <f t="shared" si="1"/>
        <v>7</v>
      </c>
      <c r="B8" s="2">
        <f t="shared" si="2"/>
        <v>58.684926420576559</v>
      </c>
      <c r="C8" s="3">
        <f t="shared" si="0"/>
        <v>4.9882187457490081</v>
      </c>
      <c r="D8" s="14">
        <f t="shared" si="3"/>
        <v>46.30329232517245</v>
      </c>
      <c r="E8" s="10">
        <f t="shared" si="4"/>
        <v>0.46303292325172452</v>
      </c>
    </row>
    <row r="9" spans="1:6" x14ac:dyDescent="0.2">
      <c r="A9" s="6">
        <f t="shared" si="1"/>
        <v>8</v>
      </c>
      <c r="B9" s="2">
        <f t="shared" si="2"/>
        <v>53.69670767482755</v>
      </c>
      <c r="C9" s="3">
        <f t="shared" si="0"/>
        <v>4.5642201523603418</v>
      </c>
      <c r="D9" s="14">
        <f t="shared" si="3"/>
        <v>50.867512477532792</v>
      </c>
      <c r="E9" s="10">
        <f t="shared" si="4"/>
        <v>0.50867512477532795</v>
      </c>
    </row>
    <row r="10" spans="1:6" x14ac:dyDescent="0.2">
      <c r="A10" s="6">
        <f t="shared" si="1"/>
        <v>9</v>
      </c>
      <c r="B10" s="2">
        <f t="shared" si="2"/>
        <v>49.132487522467208</v>
      </c>
      <c r="C10" s="3">
        <f t="shared" si="0"/>
        <v>4.1762614394097133</v>
      </c>
      <c r="D10" s="14">
        <f t="shared" si="3"/>
        <v>55.043773916942506</v>
      </c>
      <c r="E10" s="10">
        <f t="shared" si="4"/>
        <v>0.55043773916942507</v>
      </c>
    </row>
    <row r="11" spans="1:6" x14ac:dyDescent="0.2">
      <c r="A11" s="6">
        <f t="shared" si="1"/>
        <v>10</v>
      </c>
      <c r="B11" s="2">
        <f t="shared" si="2"/>
        <v>44.956226083057494</v>
      </c>
      <c r="C11" s="3">
        <f t="shared" si="0"/>
        <v>3.8212792170598875</v>
      </c>
      <c r="D11" s="14">
        <f t="shared" si="3"/>
        <v>58.865053134002395</v>
      </c>
      <c r="E11" s="10">
        <f t="shared" si="4"/>
        <v>0.58865053134002399</v>
      </c>
    </row>
    <row r="12" spans="1:6" x14ac:dyDescent="0.2">
      <c r="A12" s="6">
        <f t="shared" si="1"/>
        <v>11</v>
      </c>
      <c r="B12" s="2">
        <f t="shared" si="2"/>
        <v>41.134946865997605</v>
      </c>
      <c r="C12" s="3">
        <f t="shared" si="0"/>
        <v>3.4964704836097966</v>
      </c>
      <c r="D12" s="14">
        <f t="shared" si="3"/>
        <v>62.361523617612193</v>
      </c>
      <c r="E12" s="10">
        <f t="shared" si="4"/>
        <v>0.62361523617612191</v>
      </c>
    </row>
    <row r="13" spans="1:6" x14ac:dyDescent="0.2">
      <c r="A13" s="15">
        <f t="shared" si="1"/>
        <v>12</v>
      </c>
      <c r="B13" s="18">
        <f t="shared" si="2"/>
        <v>37.638476382387807</v>
      </c>
      <c r="C13" s="5">
        <f t="shared" si="0"/>
        <v>3.199270492502964</v>
      </c>
      <c r="D13" s="28">
        <f t="shared" si="3"/>
        <v>65.560794110115154</v>
      </c>
      <c r="E13" s="13">
        <f t="shared" si="4"/>
        <v>0.6556079411011515</v>
      </c>
    </row>
    <row r="14" spans="1:6" x14ac:dyDescent="0.2">
      <c r="A14" s="6">
        <f t="shared" si="1"/>
        <v>13</v>
      </c>
      <c r="B14" s="2">
        <f t="shared" si="2"/>
        <v>34.439205889884846</v>
      </c>
      <c r="C14" s="3">
        <f t="shared" si="0"/>
        <v>2.9273325006402122</v>
      </c>
      <c r="D14" s="14">
        <f t="shared" si="3"/>
        <v>68.488126610755373</v>
      </c>
      <c r="E14" s="10">
        <f t="shared" si="4"/>
        <v>0.68488126610755373</v>
      </c>
    </row>
    <row r="15" spans="1:6" x14ac:dyDescent="0.2">
      <c r="A15" s="6">
        <f t="shared" si="1"/>
        <v>14</v>
      </c>
      <c r="B15" s="2">
        <f t="shared" si="2"/>
        <v>31.511873389244634</v>
      </c>
      <c r="C15" s="3">
        <f t="shared" si="0"/>
        <v>2.6785092380857942</v>
      </c>
      <c r="D15" s="14">
        <f t="shared" si="3"/>
        <v>71.166635848841167</v>
      </c>
      <c r="E15" s="10">
        <f t="shared" si="4"/>
        <v>0.71166635848841164</v>
      </c>
    </row>
    <row r="16" spans="1:6" x14ac:dyDescent="0.2">
      <c r="A16" s="6">
        <f t="shared" si="1"/>
        <v>15</v>
      </c>
      <c r="B16" s="2">
        <f t="shared" si="2"/>
        <v>28.83336415115884</v>
      </c>
      <c r="C16" s="3">
        <f t="shared" si="0"/>
        <v>2.4508359528485015</v>
      </c>
      <c r="D16" s="14">
        <f t="shared" si="3"/>
        <v>73.617471801689675</v>
      </c>
      <c r="E16" s="10">
        <f t="shared" si="4"/>
        <v>0.73617471801689671</v>
      </c>
    </row>
    <row r="17" spans="1:5" x14ac:dyDescent="0.2">
      <c r="A17" s="6">
        <f t="shared" si="1"/>
        <v>16</v>
      </c>
      <c r="B17" s="2">
        <f t="shared" si="2"/>
        <v>26.382528198310339</v>
      </c>
      <c r="C17" s="3">
        <f t="shared" si="0"/>
        <v>2.2425148968563788</v>
      </c>
      <c r="D17" s="14">
        <f t="shared" si="3"/>
        <v>75.859986698546052</v>
      </c>
      <c r="E17" s="10">
        <f t="shared" si="4"/>
        <v>0.75859986698546056</v>
      </c>
    </row>
    <row r="18" spans="1:5" x14ac:dyDescent="0.2">
      <c r="A18" s="6">
        <f t="shared" si="1"/>
        <v>17</v>
      </c>
      <c r="B18" s="2">
        <f t="shared" si="2"/>
        <v>24.140013301453962</v>
      </c>
      <c r="C18" s="3">
        <f t="shared" si="0"/>
        <v>2.051901130623587</v>
      </c>
      <c r="D18" s="14">
        <f t="shared" si="3"/>
        <v>77.911887829169643</v>
      </c>
      <c r="E18" s="10">
        <f t="shared" si="4"/>
        <v>0.77911887829169646</v>
      </c>
    </row>
    <row r="19" spans="1:5" x14ac:dyDescent="0.2">
      <c r="A19" s="6">
        <f t="shared" si="1"/>
        <v>18</v>
      </c>
      <c r="B19" s="2">
        <f t="shared" si="2"/>
        <v>22.088112170830374</v>
      </c>
      <c r="C19" s="3">
        <f t="shared" si="0"/>
        <v>1.877489534520582</v>
      </c>
      <c r="D19" s="14">
        <f t="shared" si="3"/>
        <v>79.789377363690221</v>
      </c>
      <c r="E19" s="10">
        <f t="shared" si="4"/>
        <v>0.79789377363690217</v>
      </c>
    </row>
    <row r="20" spans="1:5" x14ac:dyDescent="0.2">
      <c r="A20" s="6">
        <f t="shared" ref="A20:A35" si="5">A19+1</f>
        <v>19</v>
      </c>
      <c r="B20" s="2">
        <f t="shared" ref="B20:B35" si="6">B19-C19</f>
        <v>20.210622636309793</v>
      </c>
      <c r="C20" s="3">
        <f t="shared" si="0"/>
        <v>1.7179029240863326</v>
      </c>
      <c r="D20" s="14">
        <f t="shared" ref="D20:D35" si="7">C20+D19</f>
        <v>81.507280287776553</v>
      </c>
      <c r="E20" s="10">
        <f t="shared" ref="E20:E35" si="8">D20/B$2</f>
        <v>0.81507280287776551</v>
      </c>
    </row>
    <row r="21" spans="1:5" x14ac:dyDescent="0.2">
      <c r="A21" s="6">
        <f t="shared" si="5"/>
        <v>20</v>
      </c>
      <c r="B21" s="2">
        <f t="shared" si="6"/>
        <v>18.492719712223462</v>
      </c>
      <c r="C21" s="3">
        <f t="shared" si="0"/>
        <v>1.5718811755389943</v>
      </c>
      <c r="D21" s="14">
        <f t="shared" si="7"/>
        <v>83.079161463315543</v>
      </c>
      <c r="E21" s="10">
        <f t="shared" si="8"/>
        <v>0.83079161463315543</v>
      </c>
    </row>
    <row r="22" spans="1:5" x14ac:dyDescent="0.2">
      <c r="A22" s="6">
        <f t="shared" si="5"/>
        <v>21</v>
      </c>
      <c r="B22" s="2">
        <f t="shared" si="6"/>
        <v>16.920838536684467</v>
      </c>
      <c r="C22" s="3">
        <f t="shared" si="0"/>
        <v>1.4382712756181799</v>
      </c>
      <c r="D22" s="14">
        <f t="shared" si="7"/>
        <v>84.517432738933721</v>
      </c>
      <c r="E22" s="10">
        <f t="shared" si="8"/>
        <v>0.84517432738933718</v>
      </c>
    </row>
    <row r="23" spans="1:5" x14ac:dyDescent="0.2">
      <c r="A23" s="6">
        <f t="shared" si="5"/>
        <v>22</v>
      </c>
      <c r="B23" s="2">
        <f t="shared" si="6"/>
        <v>15.482567261066288</v>
      </c>
      <c r="C23" s="3">
        <f t="shared" si="0"/>
        <v>1.3160182171906345</v>
      </c>
      <c r="D23" s="14">
        <f t="shared" si="7"/>
        <v>85.833450956124352</v>
      </c>
      <c r="E23" s="10">
        <f t="shared" si="8"/>
        <v>0.85833450956124357</v>
      </c>
    </row>
    <row r="24" spans="1:5" x14ac:dyDescent="0.2">
      <c r="A24" s="6">
        <f t="shared" si="5"/>
        <v>23</v>
      </c>
      <c r="B24" s="2">
        <f t="shared" si="6"/>
        <v>14.166549043875653</v>
      </c>
      <c r="C24" s="3">
        <f t="shared" si="0"/>
        <v>1.2041566687294305</v>
      </c>
      <c r="D24" s="14">
        <f t="shared" si="7"/>
        <v>87.037607624853777</v>
      </c>
      <c r="E24" s="10">
        <f t="shared" si="8"/>
        <v>0.87037607624853774</v>
      </c>
    </row>
    <row r="25" spans="1:5" x14ac:dyDescent="0.2">
      <c r="A25" s="15">
        <f t="shared" si="5"/>
        <v>24</v>
      </c>
      <c r="B25" s="18">
        <f t="shared" si="6"/>
        <v>12.962392375146223</v>
      </c>
      <c r="C25" s="5">
        <f t="shared" si="0"/>
        <v>1.1018033518874291</v>
      </c>
      <c r="D25" s="28">
        <f t="shared" si="7"/>
        <v>88.139410976741203</v>
      </c>
      <c r="E25" s="13">
        <f t="shared" si="8"/>
        <v>0.88139410976741206</v>
      </c>
    </row>
    <row r="26" spans="1:5" x14ac:dyDescent="0.2">
      <c r="A26" s="6">
        <f t="shared" si="5"/>
        <v>25</v>
      </c>
      <c r="B26" s="2">
        <f t="shared" si="6"/>
        <v>11.860589023258793</v>
      </c>
      <c r="C26" s="3">
        <f t="shared" si="0"/>
        <v>1.0081500669769974</v>
      </c>
      <c r="D26" s="14">
        <f t="shared" si="7"/>
        <v>89.147561043718198</v>
      </c>
      <c r="E26" s="10">
        <f t="shared" si="8"/>
        <v>0.89147561043718193</v>
      </c>
    </row>
    <row r="27" spans="1:5" x14ac:dyDescent="0.2">
      <c r="A27" s="6">
        <f t="shared" si="5"/>
        <v>26</v>
      </c>
      <c r="B27" s="2">
        <f t="shared" si="6"/>
        <v>10.852438956281796</v>
      </c>
      <c r="C27" s="3">
        <f t="shared" si="0"/>
        <v>0.9224573112839527</v>
      </c>
      <c r="D27" s="14">
        <f t="shared" si="7"/>
        <v>90.070018355002148</v>
      </c>
      <c r="E27" s="10">
        <f t="shared" si="8"/>
        <v>0.90070018355002146</v>
      </c>
    </row>
    <row r="28" spans="1:5" x14ac:dyDescent="0.2">
      <c r="A28" s="6">
        <f t="shared" si="5"/>
        <v>27</v>
      </c>
      <c r="B28" s="2">
        <f t="shared" si="6"/>
        <v>9.9299816449978433</v>
      </c>
      <c r="C28" s="3">
        <f t="shared" si="0"/>
        <v>0.8440484398248167</v>
      </c>
      <c r="D28" s="14">
        <f t="shared" si="7"/>
        <v>90.914066794826965</v>
      </c>
      <c r="E28" s="10">
        <f t="shared" si="8"/>
        <v>0.90914066794826964</v>
      </c>
    </row>
    <row r="29" spans="1:5" x14ac:dyDescent="0.2">
      <c r="A29" s="6">
        <f t="shared" si="5"/>
        <v>28</v>
      </c>
      <c r="B29" s="2">
        <f t="shared" si="6"/>
        <v>9.0859332051730259</v>
      </c>
      <c r="C29" s="3">
        <f t="shared" si="0"/>
        <v>0.77230432243970726</v>
      </c>
      <c r="D29" s="14">
        <f t="shared" si="7"/>
        <v>91.686371117266674</v>
      </c>
      <c r="E29" s="10">
        <f t="shared" si="8"/>
        <v>0.91686371117266674</v>
      </c>
    </row>
    <row r="30" spans="1:5" x14ac:dyDescent="0.2">
      <c r="A30" s="6">
        <f t="shared" si="5"/>
        <v>29</v>
      </c>
      <c r="B30" s="2">
        <f t="shared" si="6"/>
        <v>8.3136288827333189</v>
      </c>
      <c r="C30" s="3">
        <f t="shared" si="0"/>
        <v>0.70665845503233216</v>
      </c>
      <c r="D30" s="14">
        <f t="shared" si="7"/>
        <v>92.393029572299</v>
      </c>
      <c r="E30" s="10">
        <f t="shared" si="8"/>
        <v>0.92393029572299001</v>
      </c>
    </row>
    <row r="31" spans="1:5" x14ac:dyDescent="0.2">
      <c r="A31" s="6">
        <f t="shared" si="5"/>
        <v>30</v>
      </c>
      <c r="B31" s="2">
        <f t="shared" si="6"/>
        <v>7.6069704277009871</v>
      </c>
      <c r="C31" s="3">
        <f t="shared" si="0"/>
        <v>0.646592486354584</v>
      </c>
      <c r="D31" s="14">
        <f t="shared" si="7"/>
        <v>93.039622058653578</v>
      </c>
      <c r="E31" s="10">
        <f t="shared" si="8"/>
        <v>0.93039622058653582</v>
      </c>
    </row>
    <row r="32" spans="1:5" x14ac:dyDescent="0.2">
      <c r="A32" s="6">
        <f t="shared" si="5"/>
        <v>31</v>
      </c>
      <c r="B32" s="2">
        <f t="shared" si="6"/>
        <v>6.9603779413464029</v>
      </c>
      <c r="C32" s="3">
        <f t="shared" si="0"/>
        <v>0.59163212501444429</v>
      </c>
      <c r="D32" s="14">
        <f t="shared" si="7"/>
        <v>93.63125418366802</v>
      </c>
      <c r="E32" s="10">
        <f t="shared" si="8"/>
        <v>0.93631254183668022</v>
      </c>
    </row>
    <row r="33" spans="1:5" x14ac:dyDescent="0.2">
      <c r="A33" s="6">
        <f t="shared" si="5"/>
        <v>32</v>
      </c>
      <c r="B33" s="2">
        <f t="shared" si="6"/>
        <v>6.368745816331959</v>
      </c>
      <c r="C33" s="3">
        <f t="shared" si="0"/>
        <v>0.54134339438821655</v>
      </c>
      <c r="D33" s="14">
        <f t="shared" si="7"/>
        <v>94.172597578056241</v>
      </c>
      <c r="E33" s="10">
        <f t="shared" si="8"/>
        <v>0.94172597578056239</v>
      </c>
    </row>
    <row r="34" spans="1:5" x14ac:dyDescent="0.2">
      <c r="A34" s="6">
        <f t="shared" si="5"/>
        <v>33</v>
      </c>
      <c r="B34" s="2">
        <f t="shared" si="6"/>
        <v>5.8274024219437424</v>
      </c>
      <c r="C34" s="3">
        <f t="shared" si="0"/>
        <v>0.49532920586521811</v>
      </c>
      <c r="D34" s="14">
        <f t="shared" si="7"/>
        <v>94.667926783921459</v>
      </c>
      <c r="E34" s="10">
        <f t="shared" si="8"/>
        <v>0.94667926783921463</v>
      </c>
    </row>
    <row r="35" spans="1:5" x14ac:dyDescent="0.2">
      <c r="A35" s="6">
        <f t="shared" si="5"/>
        <v>34</v>
      </c>
      <c r="B35" s="2">
        <f t="shared" si="6"/>
        <v>5.3320732160785242</v>
      </c>
      <c r="C35" s="3">
        <f t="shared" si="0"/>
        <v>0.45322622336667462</v>
      </c>
      <c r="D35" s="14">
        <f t="shared" si="7"/>
        <v>95.121153007288129</v>
      </c>
      <c r="E35" s="10">
        <f t="shared" si="8"/>
        <v>0.95121153007288128</v>
      </c>
    </row>
    <row r="36" spans="1:5" x14ac:dyDescent="0.2">
      <c r="A36" s="6">
        <f t="shared" ref="A36:A51" si="9">A35+1</f>
        <v>35</v>
      </c>
      <c r="B36" s="2">
        <f t="shared" ref="B36:B51" si="10">B35-C35</f>
        <v>4.8788469927118499</v>
      </c>
      <c r="C36" s="3">
        <f t="shared" si="0"/>
        <v>0.41470199438050726</v>
      </c>
      <c r="D36" s="14">
        <f t="shared" ref="D36:D51" si="11">C36+D35</f>
        <v>95.535855001668637</v>
      </c>
      <c r="E36" s="10">
        <f t="shared" ref="E36:E51" si="12">D36/B$2</f>
        <v>0.95535855001668635</v>
      </c>
    </row>
    <row r="37" spans="1:5" x14ac:dyDescent="0.2">
      <c r="A37" s="15">
        <f t="shared" si="9"/>
        <v>36</v>
      </c>
      <c r="B37" s="18">
        <f t="shared" si="10"/>
        <v>4.4641449983313422</v>
      </c>
      <c r="C37" s="5">
        <f t="shared" ref="C37:C52" si="13">B37*F$2</f>
        <v>0.3794523248581641</v>
      </c>
      <c r="D37" s="28">
        <f t="shared" si="11"/>
        <v>95.915307326526801</v>
      </c>
      <c r="E37" s="13">
        <f t="shared" si="12"/>
        <v>0.959153073265268</v>
      </c>
    </row>
    <row r="38" spans="1:5" x14ac:dyDescent="0.2">
      <c r="A38" s="6">
        <f t="shared" si="9"/>
        <v>37</v>
      </c>
      <c r="B38" s="2">
        <f t="shared" si="10"/>
        <v>4.0846926734731781</v>
      </c>
      <c r="C38" s="3">
        <f t="shared" si="13"/>
        <v>0.34719887724522014</v>
      </c>
      <c r="D38" s="14">
        <f t="shared" si="11"/>
        <v>96.26250620377202</v>
      </c>
      <c r="E38" s="10">
        <f t="shared" si="12"/>
        <v>0.96262506203772025</v>
      </c>
    </row>
    <row r="39" spans="1:5" x14ac:dyDescent="0.2">
      <c r="A39" s="6">
        <f t="shared" si="9"/>
        <v>38</v>
      </c>
      <c r="B39" s="2">
        <f t="shared" si="10"/>
        <v>3.737493796227958</v>
      </c>
      <c r="C39" s="3">
        <f t="shared" si="13"/>
        <v>0.31768697267937646</v>
      </c>
      <c r="D39" s="14">
        <f t="shared" si="11"/>
        <v>96.580193176451402</v>
      </c>
      <c r="E39" s="10">
        <f t="shared" si="12"/>
        <v>0.96580193176451401</v>
      </c>
    </row>
    <row r="40" spans="1:5" x14ac:dyDescent="0.2">
      <c r="A40" s="6">
        <f t="shared" si="9"/>
        <v>39</v>
      </c>
      <c r="B40" s="2">
        <f t="shared" si="10"/>
        <v>3.4198068235485817</v>
      </c>
      <c r="C40" s="3">
        <f t="shared" si="13"/>
        <v>0.29068358000162947</v>
      </c>
      <c r="D40" s="14">
        <f t="shared" si="11"/>
        <v>96.870876756453029</v>
      </c>
      <c r="E40" s="10">
        <f t="shared" si="12"/>
        <v>0.96870876756453028</v>
      </c>
    </row>
    <row r="41" spans="1:5" x14ac:dyDescent="0.2">
      <c r="A41" s="6">
        <f t="shared" si="9"/>
        <v>40</v>
      </c>
      <c r="B41" s="2">
        <f t="shared" si="10"/>
        <v>3.1291232435469523</v>
      </c>
      <c r="C41" s="3">
        <f t="shared" si="13"/>
        <v>0.26597547570149094</v>
      </c>
      <c r="D41" s="14">
        <f t="shared" si="11"/>
        <v>97.136852232154524</v>
      </c>
      <c r="E41" s="10">
        <f t="shared" si="12"/>
        <v>0.97136852232154525</v>
      </c>
    </row>
    <row r="42" spans="1:5" x14ac:dyDescent="0.2">
      <c r="A42" s="6">
        <f t="shared" si="9"/>
        <v>41</v>
      </c>
      <c r="B42" s="2">
        <f t="shared" si="10"/>
        <v>2.8631477678454615</v>
      </c>
      <c r="C42" s="3">
        <f t="shared" si="13"/>
        <v>0.24336756026686424</v>
      </c>
      <c r="D42" s="14">
        <f t="shared" si="11"/>
        <v>97.380219792421386</v>
      </c>
      <c r="E42" s="10">
        <f t="shared" si="12"/>
        <v>0.97380219792421385</v>
      </c>
    </row>
    <row r="43" spans="1:5" x14ac:dyDescent="0.2">
      <c r="A43" s="6">
        <f t="shared" si="9"/>
        <v>42</v>
      </c>
      <c r="B43" s="2">
        <f t="shared" si="10"/>
        <v>2.6197802075785974</v>
      </c>
      <c r="C43" s="3">
        <f t="shared" si="13"/>
        <v>0.22268131764418081</v>
      </c>
      <c r="D43" s="14">
        <f t="shared" si="11"/>
        <v>97.602901110065559</v>
      </c>
      <c r="E43" s="10">
        <f t="shared" si="12"/>
        <v>0.97602901110065554</v>
      </c>
    </row>
    <row r="44" spans="1:5" x14ac:dyDescent="0.2">
      <c r="A44" s="6">
        <f t="shared" si="9"/>
        <v>43</v>
      </c>
      <c r="B44" s="2">
        <f t="shared" si="10"/>
        <v>2.3970988899344166</v>
      </c>
      <c r="C44" s="3">
        <f t="shared" si="13"/>
        <v>0.20375340564442543</v>
      </c>
      <c r="D44" s="14">
        <f t="shared" si="11"/>
        <v>97.80665451570998</v>
      </c>
      <c r="E44" s="10">
        <f t="shared" si="12"/>
        <v>0.97806654515709979</v>
      </c>
    </row>
    <row r="45" spans="1:5" x14ac:dyDescent="0.2">
      <c r="A45" s="6">
        <f t="shared" si="9"/>
        <v>44</v>
      </c>
      <c r="B45" s="2">
        <f t="shared" si="10"/>
        <v>2.1933454842899911</v>
      </c>
      <c r="C45" s="3">
        <f t="shared" si="13"/>
        <v>0.18643436616464926</v>
      </c>
      <c r="D45" s="14">
        <f t="shared" si="11"/>
        <v>97.993088881874627</v>
      </c>
      <c r="E45" s="10">
        <f t="shared" si="12"/>
        <v>0.97993088881874624</v>
      </c>
    </row>
    <row r="46" spans="1:5" x14ac:dyDescent="0.2">
      <c r="A46" s="6">
        <f t="shared" si="9"/>
        <v>45</v>
      </c>
      <c r="B46" s="2">
        <f t="shared" si="10"/>
        <v>2.0069111181253421</v>
      </c>
      <c r="C46" s="3">
        <f t="shared" si="13"/>
        <v>0.1705874450406541</v>
      </c>
      <c r="D46" s="14">
        <f t="shared" si="11"/>
        <v>98.163676326915279</v>
      </c>
      <c r="E46" s="10">
        <f t="shared" si="12"/>
        <v>0.98163676326915283</v>
      </c>
    </row>
    <row r="47" spans="1:5" x14ac:dyDescent="0.2">
      <c r="A47" s="6">
        <f t="shared" si="9"/>
        <v>46</v>
      </c>
      <c r="B47" s="2">
        <f t="shared" si="10"/>
        <v>1.8363236730846879</v>
      </c>
      <c r="C47" s="3">
        <f t="shared" si="13"/>
        <v>0.15608751221219849</v>
      </c>
      <c r="D47" s="14">
        <f t="shared" si="11"/>
        <v>98.319763839127475</v>
      </c>
      <c r="E47" s="10">
        <f t="shared" si="12"/>
        <v>0.98319763839127472</v>
      </c>
    </row>
    <row r="48" spans="1:5" x14ac:dyDescent="0.2">
      <c r="A48" s="6">
        <f t="shared" si="9"/>
        <v>47</v>
      </c>
      <c r="B48" s="2">
        <f t="shared" si="10"/>
        <v>1.6802361608724894</v>
      </c>
      <c r="C48" s="3">
        <f t="shared" si="13"/>
        <v>0.14282007367416161</v>
      </c>
      <c r="D48" s="14">
        <f t="shared" si="11"/>
        <v>98.462583912801634</v>
      </c>
      <c r="E48" s="10">
        <f t="shared" si="12"/>
        <v>0.98462583912801638</v>
      </c>
    </row>
    <row r="49" spans="1:5" x14ac:dyDescent="0.2">
      <c r="A49" s="15">
        <f t="shared" si="9"/>
        <v>48</v>
      </c>
      <c r="B49" s="18">
        <f t="shared" si="10"/>
        <v>1.5374160871983278</v>
      </c>
      <c r="C49" s="5">
        <f t="shared" si="13"/>
        <v>0.13068036741185787</v>
      </c>
      <c r="D49" s="28">
        <f t="shared" si="11"/>
        <v>98.593264280213489</v>
      </c>
      <c r="E49" s="13">
        <f t="shared" si="12"/>
        <v>0.98593264280213488</v>
      </c>
    </row>
    <row r="50" spans="1:5" x14ac:dyDescent="0.2">
      <c r="A50" s="6">
        <f t="shared" si="9"/>
        <v>49</v>
      </c>
      <c r="B50" s="2">
        <f t="shared" si="10"/>
        <v>1.4067357197864698</v>
      </c>
      <c r="C50" s="3">
        <f t="shared" si="13"/>
        <v>0.11957253618184994</v>
      </c>
      <c r="D50" s="14">
        <f t="shared" si="11"/>
        <v>98.712836816395338</v>
      </c>
      <c r="E50" s="10">
        <f t="shared" si="12"/>
        <v>0.98712836816395333</v>
      </c>
    </row>
    <row r="51" spans="1:5" x14ac:dyDescent="0.2">
      <c r="A51" s="6">
        <f t="shared" si="9"/>
        <v>50</v>
      </c>
      <c r="B51" s="2">
        <f t="shared" si="10"/>
        <v>1.2871631836046198</v>
      </c>
      <c r="C51" s="3">
        <f t="shared" si="13"/>
        <v>0.10940887060639269</v>
      </c>
      <c r="D51" s="14">
        <f t="shared" si="11"/>
        <v>98.822245687001725</v>
      </c>
      <c r="E51" s="10">
        <f t="shared" si="12"/>
        <v>0.98822245687001731</v>
      </c>
    </row>
    <row r="52" spans="1:5" x14ac:dyDescent="0.2">
      <c r="A52" s="6">
        <f t="shared" ref="A52:A67" si="14">A51+1</f>
        <v>51</v>
      </c>
      <c r="B52" s="2">
        <f t="shared" ref="B52:B67" si="15">B51-C51</f>
        <v>1.1777543129982271</v>
      </c>
      <c r="C52" s="3">
        <f t="shared" si="13"/>
        <v>0.10010911660484931</v>
      </c>
      <c r="D52" s="14">
        <f t="shared" ref="D52:D67" si="16">C52+D51</f>
        <v>98.922354803606581</v>
      </c>
      <c r="E52" s="10">
        <f t="shared" ref="E52:E67" si="17">D52/B$2</f>
        <v>0.98922354803606583</v>
      </c>
    </row>
    <row r="53" spans="1:5" x14ac:dyDescent="0.2">
      <c r="A53" s="6">
        <f t="shared" si="14"/>
        <v>52</v>
      </c>
      <c r="B53" s="2">
        <f t="shared" si="15"/>
        <v>1.0776451963933777</v>
      </c>
      <c r="C53" s="3">
        <f t="shared" ref="C53:C68" si="18">B53*F$2</f>
        <v>9.1599841693437115E-2</v>
      </c>
      <c r="D53" s="14">
        <f t="shared" si="16"/>
        <v>99.013954645300018</v>
      </c>
      <c r="E53" s="10">
        <f t="shared" si="17"/>
        <v>0.99013954645300017</v>
      </c>
    </row>
    <row r="54" spans="1:5" x14ac:dyDescent="0.2">
      <c r="A54" s="6">
        <f t="shared" si="14"/>
        <v>53</v>
      </c>
      <c r="B54" s="2">
        <f t="shared" si="15"/>
        <v>0.98604535469994059</v>
      </c>
      <c r="C54" s="3">
        <f t="shared" si="18"/>
        <v>8.3813855149494951E-2</v>
      </c>
      <c r="D54" s="14">
        <f t="shared" si="16"/>
        <v>99.097768500449519</v>
      </c>
      <c r="E54" s="10">
        <f t="shared" si="17"/>
        <v>0.99097768500449523</v>
      </c>
    </row>
    <row r="55" spans="1:5" x14ac:dyDescent="0.2">
      <c r="A55" s="6">
        <f t="shared" si="14"/>
        <v>54</v>
      </c>
      <c r="B55" s="2">
        <f t="shared" si="15"/>
        <v>0.90223149955044568</v>
      </c>
      <c r="C55" s="3">
        <f t="shared" si="18"/>
        <v>7.6689677461787883E-2</v>
      </c>
      <c r="D55" s="14">
        <f t="shared" si="16"/>
        <v>99.174458177911305</v>
      </c>
      <c r="E55" s="10">
        <f t="shared" si="17"/>
        <v>0.99174458177911307</v>
      </c>
    </row>
    <row r="56" spans="1:5" x14ac:dyDescent="0.2">
      <c r="A56" s="6">
        <f t="shared" si="14"/>
        <v>55</v>
      </c>
      <c r="B56" s="2">
        <f t="shared" si="15"/>
        <v>0.82554182208865778</v>
      </c>
      <c r="C56" s="3">
        <f t="shared" si="18"/>
        <v>7.0171054877535916E-2</v>
      </c>
      <c r="D56" s="14">
        <f t="shared" si="16"/>
        <v>99.244629232788839</v>
      </c>
      <c r="E56" s="10">
        <f t="shared" si="17"/>
        <v>0.99244629232788839</v>
      </c>
    </row>
    <row r="57" spans="1:5" x14ac:dyDescent="0.2">
      <c r="A57" s="6">
        <f t="shared" si="14"/>
        <v>56</v>
      </c>
      <c r="B57" s="2">
        <f t="shared" si="15"/>
        <v>0.75537076721112184</v>
      </c>
      <c r="C57" s="3">
        <f t="shared" si="18"/>
        <v>6.4206515212945361E-2</v>
      </c>
      <c r="D57" s="14">
        <f t="shared" si="16"/>
        <v>99.308835748001783</v>
      </c>
      <c r="E57" s="10">
        <f t="shared" si="17"/>
        <v>0.99308835748001778</v>
      </c>
    </row>
    <row r="58" spans="1:5" x14ac:dyDescent="0.2">
      <c r="A58" s="6">
        <f t="shared" si="14"/>
        <v>57</v>
      </c>
      <c r="B58" s="2">
        <f t="shared" si="15"/>
        <v>0.69116425199817644</v>
      </c>
      <c r="C58" s="3">
        <f t="shared" si="18"/>
        <v>5.8748961419845001E-2</v>
      </c>
      <c r="D58" s="14">
        <f t="shared" si="16"/>
        <v>99.367584709421635</v>
      </c>
      <c r="E58" s="10">
        <f t="shared" si="17"/>
        <v>0.9936758470942163</v>
      </c>
    </row>
    <row r="59" spans="1:5" x14ac:dyDescent="0.2">
      <c r="A59" s="6">
        <f t="shared" si="14"/>
        <v>58</v>
      </c>
      <c r="B59" s="2">
        <f t="shared" si="15"/>
        <v>0.63241529057833146</v>
      </c>
      <c r="C59" s="3">
        <f t="shared" si="18"/>
        <v>5.3755299699158175E-2</v>
      </c>
      <c r="D59" s="14">
        <f t="shared" si="16"/>
        <v>99.421340009120797</v>
      </c>
      <c r="E59" s="10">
        <f t="shared" si="17"/>
        <v>0.99421340009120796</v>
      </c>
    </row>
    <row r="60" spans="1:5" x14ac:dyDescent="0.2">
      <c r="A60" s="6">
        <f t="shared" si="14"/>
        <v>59</v>
      </c>
      <c r="B60" s="2">
        <f t="shared" si="15"/>
        <v>0.5786599908791733</v>
      </c>
      <c r="C60" s="3">
        <f t="shared" si="18"/>
        <v>4.9186099224729732E-2</v>
      </c>
      <c r="D60" s="14">
        <f t="shared" si="16"/>
        <v>99.470526108345524</v>
      </c>
      <c r="E60" s="10">
        <f t="shared" si="17"/>
        <v>0.99470526108345525</v>
      </c>
    </row>
    <row r="61" spans="1:5" x14ac:dyDescent="0.2">
      <c r="A61" s="6">
        <f t="shared" si="14"/>
        <v>60</v>
      </c>
      <c r="B61" s="2">
        <f t="shared" si="15"/>
        <v>0.52947389165444358</v>
      </c>
      <c r="C61" s="3">
        <f t="shared" si="18"/>
        <v>4.5005280790627711E-2</v>
      </c>
      <c r="D61" s="14">
        <f t="shared" si="16"/>
        <v>99.515531389136157</v>
      </c>
      <c r="E61" s="10">
        <f t="shared" si="17"/>
        <v>0.99515531389136158</v>
      </c>
    </row>
    <row r="62" spans="1:5" x14ac:dyDescent="0.2">
      <c r="A62" s="15">
        <f t="shared" si="14"/>
        <v>61</v>
      </c>
      <c r="B62" s="18">
        <f t="shared" si="15"/>
        <v>0.48446861086381587</v>
      </c>
      <c r="C62" s="5">
        <f t="shared" si="18"/>
        <v>4.1179831923424351E-2</v>
      </c>
      <c r="D62" s="28">
        <f t="shared" si="16"/>
        <v>99.556711221059587</v>
      </c>
      <c r="E62" s="13">
        <f t="shared" si="17"/>
        <v>0.99556711221059591</v>
      </c>
    </row>
    <row r="63" spans="1:5" x14ac:dyDescent="0.2">
      <c r="A63" s="15">
        <f t="shared" si="14"/>
        <v>62</v>
      </c>
      <c r="B63" s="18">
        <f t="shared" si="15"/>
        <v>0.44328877894039154</v>
      </c>
      <c r="C63" s="5">
        <f t="shared" si="18"/>
        <v>3.767954620993328E-2</v>
      </c>
      <c r="D63" s="28">
        <f t="shared" si="16"/>
        <v>99.594390767269516</v>
      </c>
      <c r="E63" s="13">
        <f t="shared" si="17"/>
        <v>0.99594390767269514</v>
      </c>
    </row>
    <row r="64" spans="1:5" x14ac:dyDescent="0.2">
      <c r="A64" s="15">
        <f t="shared" si="14"/>
        <v>63</v>
      </c>
      <c r="B64" s="18">
        <f t="shared" si="15"/>
        <v>0.40560923273045824</v>
      </c>
      <c r="C64" s="5">
        <f t="shared" si="18"/>
        <v>3.4476784782088953E-2</v>
      </c>
      <c r="D64" s="28">
        <f t="shared" si="16"/>
        <v>99.628867552051602</v>
      </c>
      <c r="E64" s="13">
        <f t="shared" si="17"/>
        <v>0.99628867552051603</v>
      </c>
    </row>
    <row r="65" spans="1:5" x14ac:dyDescent="0.2">
      <c r="A65" s="15">
        <f t="shared" si="14"/>
        <v>64</v>
      </c>
      <c r="B65" s="18">
        <f t="shared" si="15"/>
        <v>0.3711324479483693</v>
      </c>
      <c r="C65" s="5">
        <f t="shared" si="18"/>
        <v>3.1546258075611393E-2</v>
      </c>
      <c r="D65" s="28">
        <f t="shared" si="16"/>
        <v>99.66041381012721</v>
      </c>
      <c r="E65" s="13">
        <f t="shared" si="17"/>
        <v>0.99660413810127213</v>
      </c>
    </row>
    <row r="66" spans="1:5" x14ac:dyDescent="0.2">
      <c r="A66" s="15">
        <f t="shared" si="14"/>
        <v>65</v>
      </c>
      <c r="B66" s="18">
        <f t="shared" si="15"/>
        <v>0.3395861898727579</v>
      </c>
      <c r="C66" s="5">
        <f t="shared" si="18"/>
        <v>2.8864826139184424E-2</v>
      </c>
      <c r="D66" s="28">
        <f t="shared" si="16"/>
        <v>99.689278636266394</v>
      </c>
      <c r="E66" s="13">
        <f t="shared" si="17"/>
        <v>0.99689278636266399</v>
      </c>
    </row>
    <row r="67" spans="1:5" x14ac:dyDescent="0.2">
      <c r="A67" s="15">
        <f t="shared" si="14"/>
        <v>66</v>
      </c>
      <c r="B67" s="18">
        <f t="shared" si="15"/>
        <v>0.31072136373357351</v>
      </c>
      <c r="C67" s="5">
        <f t="shared" si="18"/>
        <v>2.641131591735375E-2</v>
      </c>
      <c r="D67" s="28">
        <f t="shared" si="16"/>
        <v>99.715689952183752</v>
      </c>
      <c r="E67" s="13">
        <f t="shared" si="17"/>
        <v>0.9971568995218375</v>
      </c>
    </row>
    <row r="68" spans="1:5" x14ac:dyDescent="0.2">
      <c r="A68" s="15">
        <f t="shared" ref="A68:A83" si="19">A67+1</f>
        <v>67</v>
      </c>
      <c r="B68" s="18">
        <f t="shared" ref="B68:B83" si="20">B67-C67</f>
        <v>0.28431004781621977</v>
      </c>
      <c r="C68" s="5">
        <f t="shared" si="18"/>
        <v>2.416635406437868E-2</v>
      </c>
      <c r="D68" s="28">
        <f t="shared" ref="D68:D83" si="21">C68+D67</f>
        <v>99.739856306248129</v>
      </c>
      <c r="E68" s="13">
        <f t="shared" ref="E68:E83" si="22">D68/B$2</f>
        <v>0.99739856306248131</v>
      </c>
    </row>
    <row r="69" spans="1:5" x14ac:dyDescent="0.2">
      <c r="A69" s="15">
        <f t="shared" si="19"/>
        <v>68</v>
      </c>
      <c r="B69" s="18">
        <f t="shared" si="20"/>
        <v>0.2601436937518411</v>
      </c>
      <c r="C69" s="5">
        <f t="shared" ref="C69:C84" si="23">B69*F$2</f>
        <v>2.2112213968906495E-2</v>
      </c>
      <c r="D69" s="28">
        <f t="shared" si="21"/>
        <v>99.761968520217039</v>
      </c>
      <c r="E69" s="13">
        <f t="shared" si="22"/>
        <v>0.99761968520217037</v>
      </c>
    </row>
    <row r="70" spans="1:5" x14ac:dyDescent="0.2">
      <c r="A70" s="15">
        <f t="shared" si="19"/>
        <v>69</v>
      </c>
      <c r="B70" s="18">
        <f t="shared" si="20"/>
        <v>0.2380314797829346</v>
      </c>
      <c r="C70" s="5">
        <f t="shared" si="23"/>
        <v>2.0232675781549442E-2</v>
      </c>
      <c r="D70" s="28">
        <f t="shared" si="21"/>
        <v>99.782201195998582</v>
      </c>
      <c r="E70" s="13">
        <f t="shared" si="22"/>
        <v>0.99782201195998577</v>
      </c>
    </row>
    <row r="71" spans="1:5" x14ac:dyDescent="0.2">
      <c r="A71" s="15">
        <f t="shared" si="19"/>
        <v>70</v>
      </c>
      <c r="B71" s="18">
        <f t="shared" si="20"/>
        <v>0.21779880400138515</v>
      </c>
      <c r="C71" s="5">
        <f t="shared" si="23"/>
        <v>1.8512898340117739E-2</v>
      </c>
      <c r="D71" s="28">
        <f t="shared" si="21"/>
        <v>99.800714094338701</v>
      </c>
      <c r="E71" s="13">
        <f t="shared" si="22"/>
        <v>0.99800714094338705</v>
      </c>
    </row>
    <row r="72" spans="1:5" x14ac:dyDescent="0.2">
      <c r="A72" s="15">
        <f t="shared" si="19"/>
        <v>71</v>
      </c>
      <c r="B72" s="18">
        <f t="shared" si="20"/>
        <v>0.19928590566126742</v>
      </c>
      <c r="C72" s="5">
        <f t="shared" si="23"/>
        <v>1.693930198120773E-2</v>
      </c>
      <c r="D72" s="28">
        <f t="shared" si="21"/>
        <v>99.817653396319912</v>
      </c>
      <c r="E72" s="13">
        <f t="shared" si="22"/>
        <v>0.99817653396319916</v>
      </c>
    </row>
    <row r="73" spans="1:5" x14ac:dyDescent="0.2">
      <c r="A73" s="15">
        <f t="shared" si="19"/>
        <v>72</v>
      </c>
      <c r="B73" s="18">
        <f t="shared" si="20"/>
        <v>0.18234660368005967</v>
      </c>
      <c r="C73" s="5">
        <f t="shared" si="23"/>
        <v>1.5499461312805073E-2</v>
      </c>
      <c r="D73" s="28">
        <f t="shared" si="21"/>
        <v>99.833152857632712</v>
      </c>
      <c r="E73" s="13">
        <f t="shared" si="22"/>
        <v>0.99833152857632712</v>
      </c>
    </row>
    <row r="74" spans="1:5" x14ac:dyDescent="0.2">
      <c r="A74" s="15">
        <f t="shared" si="19"/>
        <v>73</v>
      </c>
      <c r="B74" s="18">
        <f t="shared" si="20"/>
        <v>0.16684714236725459</v>
      </c>
      <c r="C74" s="5">
        <f t="shared" si="23"/>
        <v>1.4182007101216641E-2</v>
      </c>
      <c r="D74" s="28">
        <f t="shared" si="21"/>
        <v>99.847334864733924</v>
      </c>
      <c r="E74" s="13">
        <f t="shared" si="22"/>
        <v>0.99847334864733928</v>
      </c>
    </row>
    <row r="75" spans="1:5" x14ac:dyDescent="0.2">
      <c r="A75" s="15">
        <f t="shared" si="19"/>
        <v>74</v>
      </c>
      <c r="B75" s="18">
        <f t="shared" si="20"/>
        <v>0.15266513526603795</v>
      </c>
      <c r="C75" s="5">
        <f t="shared" si="23"/>
        <v>1.2976536497613227E-2</v>
      </c>
      <c r="D75" s="28">
        <f t="shared" si="21"/>
        <v>99.860311401231542</v>
      </c>
      <c r="E75" s="13">
        <f t="shared" si="22"/>
        <v>0.99860311401231538</v>
      </c>
    </row>
    <row r="76" spans="1:5" x14ac:dyDescent="0.2">
      <c r="A76" s="15">
        <f t="shared" si="19"/>
        <v>75</v>
      </c>
      <c r="B76" s="18">
        <f t="shared" si="20"/>
        <v>0.13968859876842471</v>
      </c>
      <c r="C76" s="5">
        <f t="shared" si="23"/>
        <v>1.1873530895316101E-2</v>
      </c>
      <c r="D76" s="28">
        <f t="shared" si="21"/>
        <v>99.872184932126856</v>
      </c>
      <c r="E76" s="13">
        <f t="shared" si="22"/>
        <v>0.99872184932126862</v>
      </c>
    </row>
    <row r="77" spans="1:5" x14ac:dyDescent="0.2">
      <c r="A77" s="15">
        <f t="shared" si="19"/>
        <v>76</v>
      </c>
      <c r="B77" s="18">
        <f t="shared" si="20"/>
        <v>0.12781506787310862</v>
      </c>
      <c r="C77" s="5">
        <f t="shared" si="23"/>
        <v>1.0864280769214233E-2</v>
      </c>
      <c r="D77" s="28">
        <f t="shared" si="21"/>
        <v>99.883049212896069</v>
      </c>
      <c r="E77" s="13">
        <f t="shared" si="22"/>
        <v>0.99883049212896069</v>
      </c>
    </row>
    <row r="78" spans="1:5" x14ac:dyDescent="0.2">
      <c r="A78" s="15">
        <f t="shared" si="19"/>
        <v>77</v>
      </c>
      <c r="B78" s="18">
        <f t="shared" si="20"/>
        <v>0.11695078710389438</v>
      </c>
      <c r="C78" s="5">
        <f t="shared" si="23"/>
        <v>9.9408169038310238E-3</v>
      </c>
      <c r="D78" s="28">
        <f t="shared" si="21"/>
        <v>99.892990029799904</v>
      </c>
      <c r="E78" s="13">
        <f t="shared" si="22"/>
        <v>0.998929900297999</v>
      </c>
    </row>
    <row r="79" spans="1:5" x14ac:dyDescent="0.2">
      <c r="A79" s="15">
        <f t="shared" si="19"/>
        <v>78</v>
      </c>
      <c r="B79" s="18">
        <f t="shared" si="20"/>
        <v>0.10700997020006335</v>
      </c>
      <c r="C79" s="5">
        <f t="shared" si="23"/>
        <v>9.0958474670053847E-3</v>
      </c>
      <c r="D79" s="28">
        <f t="shared" si="21"/>
        <v>99.902085877266913</v>
      </c>
      <c r="E79" s="13">
        <f t="shared" si="22"/>
        <v>0.99902085877266911</v>
      </c>
    </row>
    <row r="80" spans="1:5" x14ac:dyDescent="0.2">
      <c r="A80" s="15">
        <f t="shared" si="19"/>
        <v>79</v>
      </c>
      <c r="B80" s="18">
        <f t="shared" si="20"/>
        <v>9.7914122733057968E-2</v>
      </c>
      <c r="C80" s="5">
        <f t="shared" si="23"/>
        <v>8.322700432309928E-3</v>
      </c>
      <c r="D80" s="28">
        <f t="shared" si="21"/>
        <v>99.910408577699229</v>
      </c>
      <c r="E80" s="13">
        <f t="shared" si="22"/>
        <v>0.99910408577699228</v>
      </c>
    </row>
    <row r="81" spans="1:5" x14ac:dyDescent="0.2">
      <c r="A81" s="15">
        <f t="shared" si="19"/>
        <v>80</v>
      </c>
      <c r="B81" s="18">
        <f t="shared" si="20"/>
        <v>8.9591422300748041E-2</v>
      </c>
      <c r="C81" s="5">
        <f t="shared" si="23"/>
        <v>7.6152708955635837E-3</v>
      </c>
      <c r="D81" s="28">
        <f t="shared" si="21"/>
        <v>99.9180238485948</v>
      </c>
      <c r="E81" s="13">
        <f t="shared" si="22"/>
        <v>0.99918023848594795</v>
      </c>
    </row>
    <row r="82" spans="1:5" x14ac:dyDescent="0.2">
      <c r="A82" s="15">
        <f t="shared" si="19"/>
        <v>81</v>
      </c>
      <c r="B82" s="18">
        <f t="shared" si="20"/>
        <v>8.1976151405184453E-2</v>
      </c>
      <c r="C82" s="5">
        <f t="shared" si="23"/>
        <v>6.9679728694406785E-3</v>
      </c>
      <c r="D82" s="28">
        <f t="shared" si="21"/>
        <v>99.924991821464246</v>
      </c>
      <c r="E82" s="13">
        <f t="shared" si="22"/>
        <v>0.99924991821464249</v>
      </c>
    </row>
    <row r="83" spans="1:5" x14ac:dyDescent="0.2">
      <c r="A83" s="15">
        <f t="shared" si="19"/>
        <v>82</v>
      </c>
      <c r="B83" s="18">
        <f t="shared" si="20"/>
        <v>7.5008178535743777E-2</v>
      </c>
      <c r="C83" s="5">
        <f t="shared" si="23"/>
        <v>6.3756951755382218E-3</v>
      </c>
      <c r="D83" s="28">
        <f t="shared" si="21"/>
        <v>99.931367516639781</v>
      </c>
      <c r="E83" s="13">
        <f t="shared" si="22"/>
        <v>0.9993136751663978</v>
      </c>
    </row>
    <row r="84" spans="1:5" x14ac:dyDescent="0.2">
      <c r="A84" s="15">
        <f t="shared" ref="A84:A99" si="24">A83+1</f>
        <v>83</v>
      </c>
      <c r="B84" s="18">
        <f t="shared" ref="B84:B99" si="25">B83-C83</f>
        <v>6.8632483360205554E-2</v>
      </c>
      <c r="C84" s="5">
        <f t="shared" si="23"/>
        <v>5.8337610856174721E-3</v>
      </c>
      <c r="D84" s="28">
        <f t="shared" ref="D84:D99" si="26">C84+D83</f>
        <v>99.937201277725393</v>
      </c>
      <c r="E84" s="13">
        <f t="shared" ref="E84:E99" si="27">D84/B$2</f>
        <v>0.99937201277725396</v>
      </c>
    </row>
    <row r="85" spans="1:5" x14ac:dyDescent="0.2">
      <c r="A85" s="15">
        <f t="shared" si="24"/>
        <v>84</v>
      </c>
      <c r="B85" s="18">
        <f t="shared" si="25"/>
        <v>6.2798722274588076E-2</v>
      </c>
      <c r="C85" s="5">
        <f t="shared" ref="C85:C100" si="28">B85*F$2</f>
        <v>5.3378913933399864E-3</v>
      </c>
      <c r="D85" s="28">
        <f t="shared" si="26"/>
        <v>99.942539169118731</v>
      </c>
      <c r="E85" s="13">
        <f t="shared" si="27"/>
        <v>0.99942539169118727</v>
      </c>
    </row>
    <row r="86" spans="1:5" x14ac:dyDescent="0.2">
      <c r="A86" s="15">
        <f t="shared" si="24"/>
        <v>85</v>
      </c>
      <c r="B86" s="18">
        <f t="shared" si="25"/>
        <v>5.7460830881248093E-2</v>
      </c>
      <c r="C86" s="5">
        <f t="shared" si="28"/>
        <v>4.884170624906088E-3</v>
      </c>
      <c r="D86" s="28">
        <f t="shared" si="26"/>
        <v>99.947423339743636</v>
      </c>
      <c r="E86" s="13">
        <f t="shared" si="27"/>
        <v>0.99947423339743635</v>
      </c>
    </row>
    <row r="87" spans="1:5" x14ac:dyDescent="0.2">
      <c r="A87" s="15">
        <f t="shared" si="24"/>
        <v>86</v>
      </c>
      <c r="B87" s="18">
        <f t="shared" si="25"/>
        <v>5.2576660256342007E-2</v>
      </c>
      <c r="C87" s="5">
        <f t="shared" si="28"/>
        <v>4.4690161217890711E-3</v>
      </c>
      <c r="D87" s="28">
        <f t="shared" si="26"/>
        <v>99.951892355865425</v>
      </c>
      <c r="E87" s="13">
        <f t="shared" si="27"/>
        <v>0.99951892355865424</v>
      </c>
    </row>
    <row r="88" spans="1:5" x14ac:dyDescent="0.2">
      <c r="A88" s="15">
        <f t="shared" si="24"/>
        <v>87</v>
      </c>
      <c r="B88" s="18">
        <f t="shared" si="25"/>
        <v>4.8107644134552936E-2</v>
      </c>
      <c r="C88" s="5">
        <f t="shared" si="28"/>
        <v>4.0891497514369997E-3</v>
      </c>
      <c r="D88" s="28">
        <f t="shared" si="26"/>
        <v>99.955981505616862</v>
      </c>
      <c r="E88" s="13">
        <f t="shared" si="27"/>
        <v>0.99955981505616864</v>
      </c>
    </row>
    <row r="89" spans="1:5" x14ac:dyDescent="0.2">
      <c r="A89" s="15">
        <f t="shared" si="24"/>
        <v>88</v>
      </c>
      <c r="B89" s="18">
        <f t="shared" si="25"/>
        <v>4.4018494383115933E-2</v>
      </c>
      <c r="C89" s="5">
        <f t="shared" si="28"/>
        <v>3.7415720225648548E-3</v>
      </c>
      <c r="D89" s="28">
        <f t="shared" si="26"/>
        <v>99.959723077639424</v>
      </c>
      <c r="E89" s="13">
        <f t="shared" si="27"/>
        <v>0.99959723077639429</v>
      </c>
    </row>
    <row r="90" spans="1:5" x14ac:dyDescent="0.2">
      <c r="A90" s="15">
        <f t="shared" si="24"/>
        <v>89</v>
      </c>
      <c r="B90" s="18">
        <f t="shared" si="25"/>
        <v>4.0276922360551082E-2</v>
      </c>
      <c r="C90" s="5">
        <f t="shared" si="28"/>
        <v>3.4235384006468424E-3</v>
      </c>
      <c r="D90" s="28">
        <f t="shared" si="26"/>
        <v>99.963146616040078</v>
      </c>
      <c r="E90" s="13">
        <f t="shared" si="27"/>
        <v>0.99963146616040077</v>
      </c>
    </row>
    <row r="91" spans="1:5" x14ac:dyDescent="0.2">
      <c r="A91" s="15">
        <f t="shared" si="24"/>
        <v>90</v>
      </c>
      <c r="B91" s="18">
        <f t="shared" si="25"/>
        <v>3.6853383959904243E-2</v>
      </c>
      <c r="C91" s="5">
        <f t="shared" si="28"/>
        <v>3.1325376365918607E-3</v>
      </c>
      <c r="D91" s="28">
        <f t="shared" si="26"/>
        <v>99.966279153676666</v>
      </c>
      <c r="E91" s="13">
        <f t="shared" si="27"/>
        <v>0.99966279153676663</v>
      </c>
    </row>
    <row r="92" spans="1:5" x14ac:dyDescent="0.2">
      <c r="A92" s="15">
        <f t="shared" si="24"/>
        <v>91</v>
      </c>
      <c r="B92" s="18">
        <f t="shared" si="25"/>
        <v>3.3720846323312383E-2</v>
      </c>
      <c r="C92" s="5">
        <f t="shared" si="28"/>
        <v>2.8662719374815526E-3</v>
      </c>
      <c r="D92" s="28">
        <f t="shared" si="26"/>
        <v>99.969145425614144</v>
      </c>
      <c r="E92" s="13">
        <f t="shared" si="27"/>
        <v>0.99969145425614148</v>
      </c>
    </row>
    <row r="93" spans="1:5" x14ac:dyDescent="0.2">
      <c r="A93" s="15">
        <f t="shared" si="24"/>
        <v>92</v>
      </c>
      <c r="B93" s="18">
        <f t="shared" si="25"/>
        <v>3.0854574385830828E-2</v>
      </c>
      <c r="C93" s="5">
        <f t="shared" si="28"/>
        <v>2.6226388227956208E-3</v>
      </c>
      <c r="D93" s="28">
        <f t="shared" si="26"/>
        <v>99.971768064436944</v>
      </c>
      <c r="E93" s="13">
        <f t="shared" si="27"/>
        <v>0.99971768064436939</v>
      </c>
    </row>
    <row r="94" spans="1:5" x14ac:dyDescent="0.2">
      <c r="A94" s="15">
        <f t="shared" si="24"/>
        <v>93</v>
      </c>
      <c r="B94" s="18">
        <f t="shared" si="25"/>
        <v>2.8231935563035208E-2</v>
      </c>
      <c r="C94" s="5">
        <f t="shared" si="28"/>
        <v>2.3997145228579929E-3</v>
      </c>
      <c r="D94" s="28">
        <f t="shared" si="26"/>
        <v>99.974167778959796</v>
      </c>
      <c r="E94" s="13">
        <f t="shared" si="27"/>
        <v>0.99974167778959799</v>
      </c>
    </row>
    <row r="95" spans="1:5" x14ac:dyDescent="0.2">
      <c r="A95" s="15">
        <f t="shared" si="24"/>
        <v>94</v>
      </c>
      <c r="B95" s="18">
        <f t="shared" si="25"/>
        <v>2.5832221040177215E-2</v>
      </c>
      <c r="C95" s="5">
        <f t="shared" si="28"/>
        <v>2.1957387884150633E-3</v>
      </c>
      <c r="D95" s="28">
        <f t="shared" si="26"/>
        <v>99.976363517748212</v>
      </c>
      <c r="E95" s="13">
        <f t="shared" si="27"/>
        <v>0.99976363517748212</v>
      </c>
    </row>
    <row r="96" spans="1:5" x14ac:dyDescent="0.2">
      <c r="A96" s="15">
        <f t="shared" si="24"/>
        <v>95</v>
      </c>
      <c r="B96" s="18">
        <f t="shared" si="25"/>
        <v>2.3636482251762153E-2</v>
      </c>
      <c r="C96" s="5">
        <f t="shared" si="28"/>
        <v>2.0091009913997832E-3</v>
      </c>
      <c r="D96" s="28">
        <f t="shared" si="26"/>
        <v>99.978372618739613</v>
      </c>
      <c r="E96" s="13">
        <f t="shared" si="27"/>
        <v>0.99978372618739608</v>
      </c>
    </row>
    <row r="97" spans="1:5" x14ac:dyDescent="0.2">
      <c r="A97" s="15">
        <f t="shared" si="24"/>
        <v>96</v>
      </c>
      <c r="B97" s="18">
        <f t="shared" si="25"/>
        <v>2.1627381260362372E-2</v>
      </c>
      <c r="C97" s="5">
        <f t="shared" si="28"/>
        <v>1.8383274071308018E-3</v>
      </c>
      <c r="D97" s="28">
        <f t="shared" si="26"/>
        <v>99.980210946146741</v>
      </c>
      <c r="E97" s="13">
        <f t="shared" si="27"/>
        <v>0.99980210946146741</v>
      </c>
    </row>
    <row r="98" spans="1:5" x14ac:dyDescent="0.2">
      <c r="A98" s="15">
        <f t="shared" si="24"/>
        <v>97</v>
      </c>
      <c r="B98" s="18">
        <f t="shared" si="25"/>
        <v>1.978905385323157E-2</v>
      </c>
      <c r="C98" s="5">
        <f t="shared" si="28"/>
        <v>1.6820695775246835E-3</v>
      </c>
      <c r="D98" s="28">
        <f t="shared" si="26"/>
        <v>99.981893015724268</v>
      </c>
      <c r="E98" s="13">
        <f t="shared" si="27"/>
        <v>0.99981893015724266</v>
      </c>
    </row>
    <row r="99" spans="1:5" x14ac:dyDescent="0.2">
      <c r="A99" s="15">
        <f t="shared" si="24"/>
        <v>98</v>
      </c>
      <c r="B99" s="18">
        <f t="shared" si="25"/>
        <v>1.8106984275706887E-2</v>
      </c>
      <c r="C99" s="5">
        <f t="shared" si="28"/>
        <v>1.5390936634350856E-3</v>
      </c>
      <c r="D99" s="28">
        <f t="shared" si="26"/>
        <v>99.983432109387707</v>
      </c>
      <c r="E99" s="13">
        <f t="shared" si="27"/>
        <v>0.99983432109387704</v>
      </c>
    </row>
    <row r="100" spans="1:5" x14ac:dyDescent="0.2">
      <c r="A100" s="15">
        <f t="shared" ref="A100:A115" si="29">A99+1</f>
        <v>99</v>
      </c>
      <c r="B100" s="18">
        <f t="shared" ref="B100:B115" si="30">B99-C99</f>
        <v>1.6567890612271801E-2</v>
      </c>
      <c r="C100" s="5">
        <f t="shared" si="28"/>
        <v>1.4082707020431032E-3</v>
      </c>
      <c r="D100" s="28">
        <f t="shared" ref="D100:D115" si="31">C100+D99</f>
        <v>99.98484038008975</v>
      </c>
      <c r="E100" s="13">
        <f t="shared" ref="E100:E115" si="32">D100/B$2</f>
        <v>0.99984840380089746</v>
      </c>
    </row>
    <row r="101" spans="1:5" x14ac:dyDescent="0.2">
      <c r="A101" s="15">
        <f t="shared" si="29"/>
        <v>100</v>
      </c>
      <c r="B101" s="18">
        <f t="shared" si="30"/>
        <v>1.5159619910228697E-2</v>
      </c>
      <c r="C101" s="5">
        <f t="shared" ref="C101:C116" si="33">B101*F$2</f>
        <v>1.2885676923694394E-3</v>
      </c>
      <c r="D101" s="28">
        <f t="shared" si="31"/>
        <v>99.98612894778212</v>
      </c>
      <c r="E101" s="13">
        <f t="shared" si="32"/>
        <v>0.99986128947782116</v>
      </c>
    </row>
    <row r="102" spans="1:5" x14ac:dyDescent="0.2">
      <c r="A102" s="15">
        <f t="shared" si="29"/>
        <v>101</v>
      </c>
      <c r="B102" s="18">
        <f t="shared" si="30"/>
        <v>1.3871052217859258E-2</v>
      </c>
      <c r="C102" s="5">
        <f t="shared" si="33"/>
        <v>1.179039438518037E-3</v>
      </c>
      <c r="D102" s="28">
        <f t="shared" si="31"/>
        <v>99.987307987220632</v>
      </c>
      <c r="E102" s="13">
        <f t="shared" si="32"/>
        <v>0.99987307987220631</v>
      </c>
    </row>
    <row r="103" spans="1:5" x14ac:dyDescent="0.2">
      <c r="A103" s="15">
        <f t="shared" si="29"/>
        <v>102</v>
      </c>
      <c r="B103" s="18">
        <f t="shared" si="30"/>
        <v>1.2692012779341221E-2</v>
      </c>
      <c r="C103" s="5">
        <f t="shared" si="33"/>
        <v>1.0788210862440039E-3</v>
      </c>
      <c r="D103" s="28">
        <f t="shared" si="31"/>
        <v>99.988386808306871</v>
      </c>
      <c r="E103" s="13">
        <f t="shared" si="32"/>
        <v>0.99988386808306873</v>
      </c>
    </row>
    <row r="104" spans="1:5" x14ac:dyDescent="0.2">
      <c r="A104" s="15">
        <f t="shared" si="29"/>
        <v>103</v>
      </c>
      <c r="B104" s="18">
        <f t="shared" si="30"/>
        <v>1.1613191693097217E-2</v>
      </c>
      <c r="C104" s="5">
        <f t="shared" si="33"/>
        <v>9.8712129391326361E-4</v>
      </c>
      <c r="D104" s="28">
        <f t="shared" si="31"/>
        <v>99.989373929600788</v>
      </c>
      <c r="E104" s="13">
        <f t="shared" si="32"/>
        <v>0.99989373929600789</v>
      </c>
    </row>
    <row r="105" spans="1:5" x14ac:dyDescent="0.2">
      <c r="A105" s="15">
        <f t="shared" si="29"/>
        <v>104</v>
      </c>
      <c r="B105" s="18">
        <f t="shared" si="30"/>
        <v>1.0626070399183953E-2</v>
      </c>
      <c r="C105" s="5">
        <f t="shared" si="33"/>
        <v>9.0321598393063604E-4</v>
      </c>
      <c r="D105" s="28">
        <f t="shared" si="31"/>
        <v>99.990277145584713</v>
      </c>
      <c r="E105" s="13">
        <f t="shared" si="32"/>
        <v>0.99990277145584716</v>
      </c>
    </row>
    <row r="106" spans="1:5" x14ac:dyDescent="0.2">
      <c r="A106" s="15">
        <f t="shared" si="29"/>
        <v>105</v>
      </c>
      <c r="B106" s="18">
        <f t="shared" si="30"/>
        <v>9.7228544152533174E-3</v>
      </c>
      <c r="C106" s="5">
        <f t="shared" si="33"/>
        <v>8.2644262529653204E-4</v>
      </c>
      <c r="D106" s="28">
        <f t="shared" si="31"/>
        <v>99.991103588210009</v>
      </c>
      <c r="E106" s="13">
        <f t="shared" si="32"/>
        <v>0.99991103588210006</v>
      </c>
    </row>
    <row r="107" spans="1:5" x14ac:dyDescent="0.2">
      <c r="A107" s="15">
        <f t="shared" si="29"/>
        <v>106</v>
      </c>
      <c r="B107" s="18">
        <f t="shared" si="30"/>
        <v>8.8964117899567857E-3</v>
      </c>
      <c r="C107" s="5">
        <f t="shared" si="33"/>
        <v>7.5619500214632682E-4</v>
      </c>
      <c r="D107" s="28">
        <f t="shared" si="31"/>
        <v>99.991859783212149</v>
      </c>
      <c r="E107" s="13">
        <f t="shared" si="32"/>
        <v>0.99991859783212145</v>
      </c>
    </row>
    <row r="108" spans="1:5" x14ac:dyDescent="0.2">
      <c r="A108" s="15">
        <f t="shared" si="29"/>
        <v>107</v>
      </c>
      <c r="B108" s="18">
        <f t="shared" si="30"/>
        <v>8.140216787810458E-3</v>
      </c>
      <c r="C108" s="5">
        <f t="shared" si="33"/>
        <v>6.9191842696388897E-4</v>
      </c>
      <c r="D108" s="28">
        <f t="shared" si="31"/>
        <v>99.992551701639115</v>
      </c>
      <c r="E108" s="13">
        <f t="shared" si="32"/>
        <v>0.99992551701639121</v>
      </c>
    </row>
    <row r="109" spans="1:5" x14ac:dyDescent="0.2">
      <c r="A109" s="15">
        <f t="shared" si="29"/>
        <v>108</v>
      </c>
      <c r="B109" s="18">
        <f t="shared" si="30"/>
        <v>7.4482983608465687E-3</v>
      </c>
      <c r="C109" s="5">
        <f t="shared" si="33"/>
        <v>6.3310536067195835E-4</v>
      </c>
      <c r="D109" s="28">
        <f t="shared" si="31"/>
        <v>99.993184806999793</v>
      </c>
      <c r="E109" s="13">
        <f t="shared" si="32"/>
        <v>0.99993184806999791</v>
      </c>
    </row>
    <row r="110" spans="1:5" x14ac:dyDescent="0.2">
      <c r="A110" s="15">
        <f t="shared" si="29"/>
        <v>109</v>
      </c>
      <c r="B110" s="18">
        <f t="shared" si="30"/>
        <v>6.8151930001746101E-3</v>
      </c>
      <c r="C110" s="5">
        <f t="shared" si="33"/>
        <v>5.7929140501484188E-4</v>
      </c>
      <c r="D110" s="28">
        <f t="shared" si="31"/>
        <v>99.99376409840481</v>
      </c>
      <c r="E110" s="13">
        <f t="shared" si="32"/>
        <v>0.99993764098404814</v>
      </c>
    </row>
    <row r="111" spans="1:5" x14ac:dyDescent="0.2">
      <c r="A111" s="15">
        <f t="shared" si="29"/>
        <v>110</v>
      </c>
      <c r="B111" s="18">
        <f t="shared" si="30"/>
        <v>6.2359015951597681E-3</v>
      </c>
      <c r="C111" s="5">
        <f t="shared" si="33"/>
        <v>5.3005163558858038E-4</v>
      </c>
      <c r="D111" s="28">
        <f t="shared" si="31"/>
        <v>99.994294150040403</v>
      </c>
      <c r="E111" s="13">
        <f t="shared" si="32"/>
        <v>0.99994294150040408</v>
      </c>
    </row>
    <row r="112" spans="1:5" x14ac:dyDescent="0.2">
      <c r="A112" s="15">
        <f t="shared" si="29"/>
        <v>111</v>
      </c>
      <c r="B112" s="18">
        <f t="shared" si="30"/>
        <v>5.705849959571188E-3</v>
      </c>
      <c r="C112" s="5">
        <f t="shared" si="33"/>
        <v>4.8499724656355102E-4</v>
      </c>
      <c r="D112" s="28">
        <f t="shared" si="31"/>
        <v>99.994779147286962</v>
      </c>
      <c r="E112" s="13">
        <f t="shared" si="32"/>
        <v>0.99994779147286961</v>
      </c>
    </row>
    <row r="113" spans="1:5" x14ac:dyDescent="0.2">
      <c r="A113" s="15">
        <f t="shared" si="29"/>
        <v>112</v>
      </c>
      <c r="B113" s="18">
        <f t="shared" si="30"/>
        <v>5.2208527130076371E-3</v>
      </c>
      <c r="C113" s="5">
        <f t="shared" si="33"/>
        <v>4.4377248060564918E-4</v>
      </c>
      <c r="D113" s="28">
        <f t="shared" si="31"/>
        <v>99.995222919767571</v>
      </c>
      <c r="E113" s="13">
        <f t="shared" si="32"/>
        <v>0.99995222919767568</v>
      </c>
    </row>
    <row r="114" spans="1:5" x14ac:dyDescent="0.2">
      <c r="A114" s="15">
        <f t="shared" si="29"/>
        <v>113</v>
      </c>
      <c r="B114" s="18">
        <f t="shared" si="30"/>
        <v>4.7770802324019878E-3</v>
      </c>
      <c r="C114" s="5">
        <f t="shared" si="33"/>
        <v>4.06051819754169E-4</v>
      </c>
      <c r="D114" s="28">
        <f t="shared" si="31"/>
        <v>99.995628971587323</v>
      </c>
      <c r="E114" s="13">
        <f t="shared" si="32"/>
        <v>0.99995628971587325</v>
      </c>
    </row>
    <row r="115" spans="1:5" x14ac:dyDescent="0.2">
      <c r="A115" s="15">
        <f t="shared" si="29"/>
        <v>114</v>
      </c>
      <c r="B115" s="18">
        <f t="shared" si="30"/>
        <v>4.3710284126478186E-3</v>
      </c>
      <c r="C115" s="5">
        <f t="shared" si="33"/>
        <v>3.7153741507506461E-4</v>
      </c>
      <c r="D115" s="28">
        <f t="shared" si="31"/>
        <v>99.9960005090024</v>
      </c>
      <c r="E115" s="13">
        <f t="shared" si="32"/>
        <v>0.99996000509002403</v>
      </c>
    </row>
    <row r="116" spans="1:5" x14ac:dyDescent="0.2">
      <c r="A116" s="15">
        <f t="shared" ref="A116:A131" si="34">A115+1</f>
        <v>115</v>
      </c>
      <c r="B116" s="18">
        <f t="shared" ref="B116:B131" si="35">B115-C115</f>
        <v>3.9994909975727541E-3</v>
      </c>
      <c r="C116" s="5">
        <f t="shared" si="33"/>
        <v>3.3995673479368411E-4</v>
      </c>
      <c r="D116" s="28">
        <f t="shared" ref="D116:D131" si="36">C116+D115</f>
        <v>99.996340465737191</v>
      </c>
      <c r="E116" s="13">
        <f t="shared" ref="E116:E131" si="37">D116/B$2</f>
        <v>0.99996340465737188</v>
      </c>
    </row>
    <row r="117" spans="1:5" x14ac:dyDescent="0.2">
      <c r="A117" s="15">
        <f t="shared" si="34"/>
        <v>116</v>
      </c>
      <c r="B117" s="18">
        <f t="shared" si="35"/>
        <v>3.6595342627790701E-3</v>
      </c>
      <c r="C117" s="5">
        <f t="shared" ref="C117:C132" si="38">B117*F$2</f>
        <v>3.1106041233622099E-4</v>
      </c>
      <c r="D117" s="28">
        <f t="shared" si="36"/>
        <v>99.99665152614952</v>
      </c>
      <c r="E117" s="13">
        <f t="shared" si="37"/>
        <v>0.99996651526149516</v>
      </c>
    </row>
    <row r="118" spans="1:5" x14ac:dyDescent="0.2">
      <c r="A118" s="15">
        <f t="shared" si="34"/>
        <v>117</v>
      </c>
      <c r="B118" s="18">
        <f t="shared" si="35"/>
        <v>3.3484738504428492E-3</v>
      </c>
      <c r="C118" s="5">
        <f t="shared" si="38"/>
        <v>2.846202772876422E-4</v>
      </c>
      <c r="D118" s="28">
        <f t="shared" si="36"/>
        <v>99.996936146426805</v>
      </c>
      <c r="E118" s="13">
        <f t="shared" si="37"/>
        <v>0.99996936146426807</v>
      </c>
    </row>
    <row r="119" spans="1:5" x14ac:dyDescent="0.2">
      <c r="A119" s="15">
        <f t="shared" si="34"/>
        <v>118</v>
      </c>
      <c r="B119" s="18">
        <f t="shared" si="35"/>
        <v>3.063853573155207E-3</v>
      </c>
      <c r="C119" s="5">
        <f t="shared" si="38"/>
        <v>2.6042755371819259E-4</v>
      </c>
      <c r="D119" s="28">
        <f t="shared" si="36"/>
        <v>99.997196573980517</v>
      </c>
      <c r="E119" s="13">
        <f t="shared" si="37"/>
        <v>0.99997196573980518</v>
      </c>
    </row>
    <row r="120" spans="1:5" x14ac:dyDescent="0.2">
      <c r="A120" s="15">
        <f t="shared" si="34"/>
        <v>119</v>
      </c>
      <c r="B120" s="18">
        <f t="shared" si="35"/>
        <v>2.8034260194370144E-3</v>
      </c>
      <c r="C120" s="5">
        <f t="shared" si="38"/>
        <v>2.3829121165214623E-4</v>
      </c>
      <c r="D120" s="28">
        <f t="shared" si="36"/>
        <v>99.997434865192176</v>
      </c>
      <c r="E120" s="13">
        <f t="shared" si="37"/>
        <v>0.99997434865192181</v>
      </c>
    </row>
    <row r="121" spans="1:5" x14ac:dyDescent="0.2">
      <c r="A121" s="15">
        <f t="shared" si="34"/>
        <v>120</v>
      </c>
      <c r="B121" s="18">
        <f t="shared" si="35"/>
        <v>2.5651348077848682E-3</v>
      </c>
      <c r="C121" s="5">
        <f t="shared" si="38"/>
        <v>2.1803645866171382E-4</v>
      </c>
      <c r="D121" s="28">
        <f t="shared" si="36"/>
        <v>99.997652901650838</v>
      </c>
      <c r="E121" s="13">
        <f t="shared" si="37"/>
        <v>0.99997652901650835</v>
      </c>
    </row>
    <row r="122" spans="1:5" x14ac:dyDescent="0.2">
      <c r="A122" s="15">
        <f t="shared" si="34"/>
        <v>121</v>
      </c>
      <c r="B122" s="18">
        <f t="shared" si="35"/>
        <v>2.3470983491231546E-3</v>
      </c>
      <c r="C122" s="5">
        <f t="shared" si="38"/>
        <v>1.9950335967546816E-4</v>
      </c>
      <c r="D122" s="28">
        <f t="shared" si="36"/>
        <v>99.997852405010519</v>
      </c>
      <c r="E122" s="13">
        <f t="shared" si="37"/>
        <v>0.99997852405010523</v>
      </c>
    </row>
    <row r="123" spans="1:5" x14ac:dyDescent="0.2">
      <c r="A123" s="15">
        <f t="shared" si="34"/>
        <v>122</v>
      </c>
      <c r="B123" s="18">
        <f t="shared" si="35"/>
        <v>2.1475949894476866E-3</v>
      </c>
      <c r="C123" s="5">
        <f t="shared" si="38"/>
        <v>1.8254557410305337E-4</v>
      </c>
      <c r="D123" s="28">
        <f t="shared" si="36"/>
        <v>99.998034950584625</v>
      </c>
      <c r="E123" s="13">
        <f t="shared" si="37"/>
        <v>0.99998034950584624</v>
      </c>
    </row>
    <row r="124" spans="1:5" x14ac:dyDescent="0.2">
      <c r="A124" s="15">
        <f t="shared" si="34"/>
        <v>123</v>
      </c>
      <c r="B124" s="18">
        <f t="shared" si="35"/>
        <v>1.9650494153446332E-3</v>
      </c>
      <c r="C124" s="5">
        <f t="shared" si="38"/>
        <v>1.6702920030429384E-4</v>
      </c>
      <c r="D124" s="28">
        <f t="shared" si="36"/>
        <v>99.998201979784923</v>
      </c>
      <c r="E124" s="13">
        <f t="shared" si="37"/>
        <v>0.99998201979784929</v>
      </c>
    </row>
    <row r="125" spans="1:5" x14ac:dyDescent="0.2">
      <c r="A125" s="15">
        <f t="shared" si="34"/>
        <v>124</v>
      </c>
      <c r="B125" s="18">
        <f t="shared" si="35"/>
        <v>1.7980202150403393E-3</v>
      </c>
      <c r="C125" s="5">
        <f t="shared" si="38"/>
        <v>1.5283171827842884E-4</v>
      </c>
      <c r="D125" s="28">
        <f t="shared" si="36"/>
        <v>99.998354811503205</v>
      </c>
      <c r="E125" s="13">
        <f t="shared" si="37"/>
        <v>0.99998354811503209</v>
      </c>
    </row>
    <row r="126" spans="1:5" x14ac:dyDescent="0.2">
      <c r="A126" s="15">
        <f t="shared" si="34"/>
        <v>125</v>
      </c>
      <c r="B126" s="18">
        <f t="shared" si="35"/>
        <v>1.6451884967619104E-3</v>
      </c>
      <c r="C126" s="5">
        <f t="shared" si="38"/>
        <v>1.398410222247624E-4</v>
      </c>
      <c r="D126" s="28">
        <f t="shared" si="36"/>
        <v>99.998494652525423</v>
      </c>
      <c r="E126" s="13">
        <f t="shared" si="37"/>
        <v>0.99998494652525427</v>
      </c>
    </row>
    <row r="127" spans="1:5" x14ac:dyDescent="0.2">
      <c r="A127" s="15">
        <f t="shared" si="34"/>
        <v>126</v>
      </c>
      <c r="B127" s="18">
        <f t="shared" si="35"/>
        <v>1.5053474745371481E-3</v>
      </c>
      <c r="C127" s="5">
        <f t="shared" si="38"/>
        <v>1.2795453533565759E-4</v>
      </c>
      <c r="D127" s="28">
        <f t="shared" si="36"/>
        <v>99.998622607060753</v>
      </c>
      <c r="E127" s="13">
        <f t="shared" si="37"/>
        <v>0.9999862260706075</v>
      </c>
    </row>
    <row r="128" spans="1:5" x14ac:dyDescent="0.2">
      <c r="A128" s="15">
        <f t="shared" si="34"/>
        <v>127</v>
      </c>
      <c r="B128" s="18">
        <f t="shared" si="35"/>
        <v>1.3773929392014905E-3</v>
      </c>
      <c r="C128" s="5">
        <f t="shared" si="38"/>
        <v>1.170783998321267E-4</v>
      </c>
      <c r="D128" s="28">
        <f t="shared" si="36"/>
        <v>99.998739685460592</v>
      </c>
      <c r="E128" s="13">
        <f t="shared" si="37"/>
        <v>0.99998739685460591</v>
      </c>
    </row>
    <row r="129" spans="1:5" x14ac:dyDescent="0.2">
      <c r="A129" s="15">
        <f t="shared" si="34"/>
        <v>128</v>
      </c>
      <c r="B129" s="18">
        <f t="shared" si="35"/>
        <v>1.2603145393693639E-3</v>
      </c>
      <c r="C129" s="5">
        <f t="shared" si="38"/>
        <v>1.0712673584639593E-4</v>
      </c>
      <c r="D129" s="28">
        <f t="shared" si="36"/>
        <v>99.998846812196433</v>
      </c>
      <c r="E129" s="13">
        <f t="shared" si="37"/>
        <v>0.99998846812196429</v>
      </c>
    </row>
    <row r="130" spans="1:5" x14ac:dyDescent="0.2">
      <c r="A130" s="15">
        <f t="shared" si="34"/>
        <v>129</v>
      </c>
      <c r="B130" s="18">
        <f t="shared" si="35"/>
        <v>1.153187803522968E-3</v>
      </c>
      <c r="C130" s="5">
        <f t="shared" si="38"/>
        <v>9.8020963299452277E-5</v>
      </c>
      <c r="D130" s="28">
        <f t="shared" si="36"/>
        <v>99.998944833159726</v>
      </c>
      <c r="E130" s="13">
        <f t="shared" si="37"/>
        <v>0.99998944833159731</v>
      </c>
    </row>
    <row r="131" spans="1:5" x14ac:dyDescent="0.2">
      <c r="A131" s="15">
        <f t="shared" si="34"/>
        <v>130</v>
      </c>
      <c r="B131" s="18">
        <f t="shared" si="35"/>
        <v>1.0551668402235157E-3</v>
      </c>
      <c r="C131" s="5">
        <f t="shared" si="38"/>
        <v>8.9689181418998844E-5</v>
      </c>
      <c r="D131" s="28">
        <f t="shared" si="36"/>
        <v>99.999034522341148</v>
      </c>
      <c r="E131" s="13">
        <f t="shared" si="37"/>
        <v>0.99999034522341146</v>
      </c>
    </row>
    <row r="132" spans="1:5" x14ac:dyDescent="0.2">
      <c r="A132" s="15">
        <f t="shared" ref="A132:A147" si="39">A131+1</f>
        <v>131</v>
      </c>
      <c r="B132" s="18">
        <f t="shared" ref="B132:B147" si="40">B131-C131</f>
        <v>9.6547765880451687E-4</v>
      </c>
      <c r="C132" s="5">
        <f t="shared" si="38"/>
        <v>8.2065600998383934E-5</v>
      </c>
      <c r="D132" s="28">
        <f t="shared" ref="D132:D147" si="41">C132+D131</f>
        <v>99.99911658794214</v>
      </c>
      <c r="E132" s="13">
        <f t="shared" ref="E132:E147" si="42">D132/B$2</f>
        <v>0.99999116587942138</v>
      </c>
    </row>
    <row r="133" spans="1:5" x14ac:dyDescent="0.2">
      <c r="A133" s="15">
        <f t="shared" si="39"/>
        <v>132</v>
      </c>
      <c r="B133" s="18">
        <f t="shared" si="40"/>
        <v>8.834120578061329E-4</v>
      </c>
      <c r="C133" s="5">
        <f t="shared" ref="C133:C148" si="43">B133*F$2</f>
        <v>7.5090024913521307E-5</v>
      </c>
      <c r="D133" s="28">
        <f t="shared" si="41"/>
        <v>99.999191677967048</v>
      </c>
      <c r="E133" s="13">
        <f t="shared" si="42"/>
        <v>0.99999191677967048</v>
      </c>
    </row>
    <row r="134" spans="1:5" x14ac:dyDescent="0.2">
      <c r="A134" s="15">
        <f t="shared" si="39"/>
        <v>133</v>
      </c>
      <c r="B134" s="18">
        <f t="shared" si="40"/>
        <v>8.0832203289261158E-4</v>
      </c>
      <c r="C134" s="5">
        <f t="shared" si="43"/>
        <v>6.870737279587199E-5</v>
      </c>
      <c r="D134" s="28">
        <f t="shared" si="41"/>
        <v>99.999260385339838</v>
      </c>
      <c r="E134" s="13">
        <f t="shared" si="42"/>
        <v>0.99999260385339839</v>
      </c>
    </row>
    <row r="135" spans="1:5" x14ac:dyDescent="0.2">
      <c r="A135" s="15">
        <f t="shared" si="39"/>
        <v>134</v>
      </c>
      <c r="B135" s="18">
        <f t="shared" si="40"/>
        <v>7.3961466009673962E-4</v>
      </c>
      <c r="C135" s="5">
        <f t="shared" si="43"/>
        <v>6.2867246108222878E-5</v>
      </c>
      <c r="D135" s="28">
        <f t="shared" si="41"/>
        <v>99.999323252585953</v>
      </c>
      <c r="E135" s="13">
        <f t="shared" si="42"/>
        <v>0.99999323252585948</v>
      </c>
    </row>
    <row r="136" spans="1:5" x14ac:dyDescent="0.2">
      <c r="A136" s="15">
        <f t="shared" si="39"/>
        <v>135</v>
      </c>
      <c r="B136" s="18">
        <f t="shared" si="40"/>
        <v>6.7674741398851676E-4</v>
      </c>
      <c r="C136" s="5">
        <f t="shared" si="43"/>
        <v>5.7523530189023928E-5</v>
      </c>
      <c r="D136" s="28">
        <f t="shared" si="41"/>
        <v>99.999380776116141</v>
      </c>
      <c r="E136" s="13">
        <f t="shared" si="42"/>
        <v>0.99999380776116142</v>
      </c>
    </row>
    <row r="137" spans="1:5" x14ac:dyDescent="0.2">
      <c r="A137" s="15">
        <f t="shared" si="39"/>
        <v>136</v>
      </c>
      <c r="B137" s="18">
        <f t="shared" si="40"/>
        <v>6.1922388379949281E-4</v>
      </c>
      <c r="C137" s="5">
        <f t="shared" si="43"/>
        <v>5.2634030122956895E-5</v>
      </c>
      <c r="D137" s="28">
        <f t="shared" si="41"/>
        <v>99.999433410146267</v>
      </c>
      <c r="E137" s="13">
        <f t="shared" si="42"/>
        <v>0.99999433410146266</v>
      </c>
    </row>
    <row r="138" spans="1:5" x14ac:dyDescent="0.2">
      <c r="A138" s="15">
        <f t="shared" si="39"/>
        <v>137</v>
      </c>
      <c r="B138" s="18">
        <f t="shared" si="40"/>
        <v>5.6658985367653587E-4</v>
      </c>
      <c r="C138" s="5">
        <f t="shared" si="43"/>
        <v>4.8160137562505555E-5</v>
      </c>
      <c r="D138" s="28">
        <f t="shared" si="41"/>
        <v>99.999481570283834</v>
      </c>
      <c r="E138" s="13">
        <f t="shared" si="42"/>
        <v>0.99999481570283832</v>
      </c>
    </row>
    <row r="139" spans="1:5" x14ac:dyDescent="0.2">
      <c r="A139" s="15">
        <f t="shared" si="39"/>
        <v>138</v>
      </c>
      <c r="B139" s="18">
        <f t="shared" si="40"/>
        <v>5.1842971611403032E-4</v>
      </c>
      <c r="C139" s="5">
        <f t="shared" si="43"/>
        <v>4.406652586969258E-5</v>
      </c>
      <c r="D139" s="28">
        <f t="shared" si="41"/>
        <v>99.999525636809707</v>
      </c>
      <c r="E139" s="13">
        <f t="shared" si="42"/>
        <v>0.99999525636809705</v>
      </c>
    </row>
    <row r="140" spans="1:5" x14ac:dyDescent="0.2">
      <c r="A140" s="15">
        <f t="shared" si="39"/>
        <v>139</v>
      </c>
      <c r="B140" s="18">
        <f t="shared" si="40"/>
        <v>4.7436319024433775E-4</v>
      </c>
      <c r="C140" s="5">
        <f t="shared" si="43"/>
        <v>4.0320871170768709E-5</v>
      </c>
      <c r="D140" s="28">
        <f t="shared" si="41"/>
        <v>99.999565957680872</v>
      </c>
      <c r="E140" s="13">
        <f t="shared" si="42"/>
        <v>0.99999565957680869</v>
      </c>
    </row>
    <row r="141" spans="1:5" x14ac:dyDescent="0.2">
      <c r="A141" s="15">
        <f t="shared" si="39"/>
        <v>140</v>
      </c>
      <c r="B141" s="18">
        <f t="shared" si="40"/>
        <v>4.3404231907356904E-4</v>
      </c>
      <c r="C141" s="5">
        <f t="shared" si="43"/>
        <v>3.689359712125337E-5</v>
      </c>
      <c r="D141" s="28">
        <f t="shared" si="41"/>
        <v>99.999602851277999</v>
      </c>
      <c r="E141" s="13">
        <f t="shared" si="42"/>
        <v>0.99999602851278002</v>
      </c>
    </row>
    <row r="142" spans="1:5" x14ac:dyDescent="0.2">
      <c r="A142" s="15">
        <f t="shared" si="39"/>
        <v>141</v>
      </c>
      <c r="B142" s="18">
        <f t="shared" si="40"/>
        <v>3.9714872195231569E-4</v>
      </c>
      <c r="C142" s="5">
        <f t="shared" si="43"/>
        <v>3.3757641365946838E-5</v>
      </c>
      <c r="D142" s="28">
        <f t="shared" si="41"/>
        <v>99.99963660891936</v>
      </c>
      <c r="E142" s="13">
        <f t="shared" si="42"/>
        <v>0.99999636608919362</v>
      </c>
    </row>
    <row r="143" spans="1:5" x14ac:dyDescent="0.2">
      <c r="A143" s="15">
        <f t="shared" si="39"/>
        <v>142</v>
      </c>
      <c r="B143" s="18">
        <f t="shared" si="40"/>
        <v>3.6339108058636887E-4</v>
      </c>
      <c r="C143" s="5">
        <f t="shared" si="43"/>
        <v>3.0888241849841355E-5</v>
      </c>
      <c r="D143" s="28">
        <f t="shared" si="41"/>
        <v>99.999667497161212</v>
      </c>
      <c r="E143" s="13">
        <f t="shared" si="42"/>
        <v>0.99999667497161215</v>
      </c>
    </row>
    <row r="144" spans="1:5" x14ac:dyDescent="0.2">
      <c r="A144" s="15">
        <f t="shared" si="39"/>
        <v>143</v>
      </c>
      <c r="B144" s="18">
        <f t="shared" si="40"/>
        <v>3.3250283873652753E-4</v>
      </c>
      <c r="C144" s="5">
        <f t="shared" si="43"/>
        <v>2.8262741292604843E-5</v>
      </c>
      <c r="D144" s="28">
        <f t="shared" si="41"/>
        <v>99.999695759902508</v>
      </c>
      <c r="E144" s="13">
        <f t="shared" si="42"/>
        <v>0.99999695759902507</v>
      </c>
    </row>
    <row r="145" spans="1:5" x14ac:dyDescent="0.2">
      <c r="A145" s="15">
        <f t="shared" si="39"/>
        <v>144</v>
      </c>
      <c r="B145" s="18">
        <f t="shared" si="40"/>
        <v>3.0424009744392267E-4</v>
      </c>
      <c r="C145" s="5">
        <f t="shared" si="43"/>
        <v>2.5860408282733427E-5</v>
      </c>
      <c r="D145" s="28">
        <f t="shared" si="41"/>
        <v>99.999721620310794</v>
      </c>
      <c r="E145" s="13">
        <f t="shared" si="42"/>
        <v>0.99999721620310789</v>
      </c>
    </row>
    <row r="146" spans="1:5" x14ac:dyDescent="0.2">
      <c r="A146" s="15">
        <f t="shared" si="39"/>
        <v>145</v>
      </c>
      <c r="B146" s="18">
        <f t="shared" si="40"/>
        <v>2.7837968916118926E-4</v>
      </c>
      <c r="C146" s="5">
        <f t="shared" si="43"/>
        <v>2.366227357870109E-5</v>
      </c>
      <c r="D146" s="28">
        <f t="shared" si="41"/>
        <v>99.999745282584371</v>
      </c>
      <c r="E146" s="13">
        <f t="shared" si="42"/>
        <v>0.99999745282584374</v>
      </c>
    </row>
    <row r="147" spans="1:5" x14ac:dyDescent="0.2">
      <c r="A147" s="15">
        <f t="shared" si="39"/>
        <v>146</v>
      </c>
      <c r="B147" s="18">
        <f t="shared" si="40"/>
        <v>2.5471741558248819E-4</v>
      </c>
      <c r="C147" s="5">
        <f t="shared" si="43"/>
        <v>2.1650980324511497E-5</v>
      </c>
      <c r="D147" s="28">
        <f t="shared" si="41"/>
        <v>99.9997669335647</v>
      </c>
      <c r="E147" s="13">
        <f t="shared" si="42"/>
        <v>0.99999766933564704</v>
      </c>
    </row>
    <row r="148" spans="1:5" x14ac:dyDescent="0.2">
      <c r="A148" s="15">
        <f t="shared" ref="A148:A163" si="44">A147+1</f>
        <v>147</v>
      </c>
      <c r="B148" s="18">
        <f t="shared" ref="B148:B163" si="45">B147-C147</f>
        <v>2.330664352579767E-4</v>
      </c>
      <c r="C148" s="5">
        <f t="shared" si="43"/>
        <v>1.981064699692802E-5</v>
      </c>
      <c r="D148" s="28">
        <f t="shared" ref="D148:D163" si="46">C148+D147</f>
        <v>99.999786744211704</v>
      </c>
      <c r="E148" s="13">
        <f t="shared" ref="E148:E163" si="47">D148/B$2</f>
        <v>0.99999786744211705</v>
      </c>
    </row>
    <row r="149" spans="1:5" x14ac:dyDescent="0.2">
      <c r="A149" s="15">
        <f t="shared" si="44"/>
        <v>148</v>
      </c>
      <c r="B149" s="18">
        <f t="shared" si="45"/>
        <v>2.1325578826104867E-4</v>
      </c>
      <c r="C149" s="5">
        <f t="shared" ref="C149:C164" si="48">B149*F$2</f>
        <v>1.8126742002189138E-5</v>
      </c>
      <c r="D149" s="28">
        <f t="shared" si="46"/>
        <v>99.99980487095371</v>
      </c>
      <c r="E149" s="13">
        <f t="shared" si="47"/>
        <v>0.99999804870953712</v>
      </c>
    </row>
    <row r="150" spans="1:5" x14ac:dyDescent="0.2">
      <c r="A150" s="15">
        <f t="shared" si="44"/>
        <v>149</v>
      </c>
      <c r="B150" s="18">
        <f t="shared" si="45"/>
        <v>1.9512904625885953E-4</v>
      </c>
      <c r="C150" s="5">
        <f t="shared" si="48"/>
        <v>1.658596893200306E-5</v>
      </c>
      <c r="D150" s="28">
        <f t="shared" si="46"/>
        <v>99.999821456922646</v>
      </c>
      <c r="E150" s="13">
        <f t="shared" si="47"/>
        <v>0.99999821456922644</v>
      </c>
    </row>
    <row r="151" spans="1:5" x14ac:dyDescent="0.2">
      <c r="A151" s="15">
        <f t="shared" si="44"/>
        <v>150</v>
      </c>
      <c r="B151" s="18">
        <f t="shared" si="45"/>
        <v>1.7854307732685648E-4</v>
      </c>
      <c r="C151" s="5">
        <f t="shared" si="48"/>
        <v>1.5176161572782802E-5</v>
      </c>
      <c r="D151" s="28">
        <f t="shared" si="46"/>
        <v>99.999836633084215</v>
      </c>
      <c r="E151" s="13">
        <f t="shared" si="47"/>
        <v>0.99999836633084216</v>
      </c>
    </row>
    <row r="152" spans="1:5" x14ac:dyDescent="0.2">
      <c r="A152" s="15">
        <f t="shared" si="44"/>
        <v>151</v>
      </c>
      <c r="B152" s="18">
        <f t="shared" si="45"/>
        <v>1.6336691575407367E-4</v>
      </c>
      <c r="C152" s="5">
        <f t="shared" si="48"/>
        <v>1.3886187839096263E-5</v>
      </c>
      <c r="D152" s="28">
        <f t="shared" si="46"/>
        <v>99.999850519272059</v>
      </c>
      <c r="E152" s="13">
        <f t="shared" si="47"/>
        <v>0.9999985051927206</v>
      </c>
    </row>
    <row r="153" spans="1:5" x14ac:dyDescent="0.2">
      <c r="A153" s="15">
        <f t="shared" si="44"/>
        <v>152</v>
      </c>
      <c r="B153" s="18">
        <f t="shared" si="45"/>
        <v>1.4948072791497741E-4</v>
      </c>
      <c r="C153" s="5">
        <f t="shared" si="48"/>
        <v>1.2705861872773081E-5</v>
      </c>
      <c r="D153" s="28">
        <f t="shared" si="46"/>
        <v>99.999863225133936</v>
      </c>
      <c r="E153" s="13">
        <f t="shared" si="47"/>
        <v>0.99999863225133934</v>
      </c>
    </row>
    <row r="154" spans="1:5" x14ac:dyDescent="0.2">
      <c r="A154" s="15">
        <f t="shared" si="44"/>
        <v>153</v>
      </c>
      <c r="B154" s="18">
        <f t="shared" si="45"/>
        <v>1.3677486604220433E-4</v>
      </c>
      <c r="C154" s="5">
        <f t="shared" si="48"/>
        <v>1.1625863613587369E-5</v>
      </c>
      <c r="D154" s="28">
        <f t="shared" si="46"/>
        <v>99.999874850997543</v>
      </c>
      <c r="E154" s="13">
        <f t="shared" si="47"/>
        <v>0.99999874850997539</v>
      </c>
    </row>
    <row r="155" spans="1:5" x14ac:dyDescent="0.2">
      <c r="A155" s="15">
        <f t="shared" si="44"/>
        <v>154</v>
      </c>
      <c r="B155" s="18">
        <f t="shared" si="45"/>
        <v>1.2514900242861695E-4</v>
      </c>
      <c r="C155" s="5">
        <f t="shared" si="48"/>
        <v>1.0637665206432442E-5</v>
      </c>
      <c r="D155" s="28">
        <f t="shared" si="46"/>
        <v>99.999885488662756</v>
      </c>
      <c r="E155" s="13">
        <f t="shared" si="47"/>
        <v>0.99999885488662754</v>
      </c>
    </row>
    <row r="156" spans="1:5" x14ac:dyDescent="0.2">
      <c r="A156" s="15">
        <f t="shared" si="44"/>
        <v>155</v>
      </c>
      <c r="B156" s="18">
        <f t="shared" si="45"/>
        <v>1.145113372221845E-4</v>
      </c>
      <c r="C156" s="5">
        <f t="shared" si="48"/>
        <v>9.733463663885684E-6</v>
      </c>
      <c r="D156" s="28">
        <f t="shared" si="46"/>
        <v>99.999895222126426</v>
      </c>
      <c r="E156" s="13">
        <f t="shared" si="47"/>
        <v>0.99999895222126423</v>
      </c>
    </row>
    <row r="157" spans="1:5" x14ac:dyDescent="0.2">
      <c r="A157" s="15">
        <f t="shared" si="44"/>
        <v>156</v>
      </c>
      <c r="B157" s="18">
        <f t="shared" si="45"/>
        <v>1.0477787355829882E-4</v>
      </c>
      <c r="C157" s="5">
        <f t="shared" si="48"/>
        <v>8.9061192524553998E-6</v>
      </c>
      <c r="D157" s="28">
        <f t="shared" si="46"/>
        <v>99.999904128245674</v>
      </c>
      <c r="E157" s="13">
        <f t="shared" si="47"/>
        <v>0.99999904128245676</v>
      </c>
    </row>
    <row r="158" spans="1:5" x14ac:dyDescent="0.2">
      <c r="A158" s="15">
        <f t="shared" si="44"/>
        <v>157</v>
      </c>
      <c r="B158" s="18">
        <f t="shared" si="45"/>
        <v>9.5871754305843418E-5</v>
      </c>
      <c r="C158" s="5">
        <f t="shared" si="48"/>
        <v>8.1490991159966917E-6</v>
      </c>
      <c r="D158" s="28">
        <f t="shared" si="46"/>
        <v>99.999912277344791</v>
      </c>
      <c r="E158" s="13">
        <f t="shared" si="47"/>
        <v>0.99999912277344793</v>
      </c>
    </row>
    <row r="159" spans="1:5" x14ac:dyDescent="0.2">
      <c r="A159" s="15">
        <f t="shared" si="44"/>
        <v>158</v>
      </c>
      <c r="B159" s="18">
        <f t="shared" si="45"/>
        <v>8.7722655189846724E-5</v>
      </c>
      <c r="C159" s="5">
        <f t="shared" si="48"/>
        <v>7.4564256911369724E-6</v>
      </c>
      <c r="D159" s="28">
        <f t="shared" si="46"/>
        <v>99.999919733770483</v>
      </c>
      <c r="E159" s="13">
        <f t="shared" si="47"/>
        <v>0.99999919733770481</v>
      </c>
    </row>
    <row r="160" spans="1:5" x14ac:dyDescent="0.2">
      <c r="A160" s="15">
        <f t="shared" si="44"/>
        <v>159</v>
      </c>
      <c r="B160" s="18">
        <f t="shared" si="45"/>
        <v>8.0266229498709757E-5</v>
      </c>
      <c r="C160" s="5">
        <f t="shared" si="48"/>
        <v>6.8226295073903298E-6</v>
      </c>
      <c r="D160" s="28">
        <f t="shared" si="46"/>
        <v>99.999926556399984</v>
      </c>
      <c r="E160" s="13">
        <f t="shared" si="47"/>
        <v>0.99999926556399987</v>
      </c>
    </row>
    <row r="161" spans="1:7" x14ac:dyDescent="0.2">
      <c r="A161" s="15">
        <f t="shared" si="44"/>
        <v>160</v>
      </c>
      <c r="B161" s="18">
        <f t="shared" si="45"/>
        <v>7.3443599991319426E-5</v>
      </c>
      <c r="C161" s="5">
        <f t="shared" si="48"/>
        <v>6.2427059992621514E-6</v>
      </c>
      <c r="D161" s="28">
        <f t="shared" si="46"/>
        <v>99.999932799105977</v>
      </c>
      <c r="E161" s="13">
        <f t="shared" si="47"/>
        <v>0.99999932799105973</v>
      </c>
      <c r="G161">
        <f>12*15</f>
        <v>180</v>
      </c>
    </row>
    <row r="162" spans="1:7" x14ac:dyDescent="0.2">
      <c r="A162" s="15">
        <f t="shared" si="44"/>
        <v>161</v>
      </c>
      <c r="B162" s="18">
        <f t="shared" si="45"/>
        <v>6.720089399205727E-5</v>
      </c>
      <c r="C162" s="5">
        <f t="shared" si="48"/>
        <v>5.7120759893248684E-6</v>
      </c>
      <c r="D162" s="28">
        <f t="shared" si="46"/>
        <v>99.999938511181966</v>
      </c>
      <c r="E162" s="13">
        <f t="shared" si="47"/>
        <v>0.99999938511181963</v>
      </c>
    </row>
    <row r="163" spans="1:7" x14ac:dyDescent="0.2">
      <c r="A163" s="15">
        <f t="shared" si="44"/>
        <v>162</v>
      </c>
      <c r="B163" s="18">
        <f t="shared" si="45"/>
        <v>6.1488818002732395E-5</v>
      </c>
      <c r="C163" s="5">
        <f t="shared" si="48"/>
        <v>5.2265495302322536E-6</v>
      </c>
      <c r="D163" s="28">
        <f t="shared" si="46"/>
        <v>99.999943737731499</v>
      </c>
      <c r="E163" s="13">
        <f t="shared" si="47"/>
        <v>0.999999437377315</v>
      </c>
    </row>
    <row r="164" spans="1:7" x14ac:dyDescent="0.2">
      <c r="A164" s="15">
        <f t="shared" ref="A164:A179" si="49">A163+1</f>
        <v>163</v>
      </c>
      <c r="B164" s="18">
        <f t="shared" ref="B164:B179" si="50">B163-C163</f>
        <v>5.6262268472500142E-5</v>
      </c>
      <c r="C164" s="5">
        <f t="shared" si="48"/>
        <v>4.7822928201625123E-6</v>
      </c>
      <c r="D164" s="28">
        <f t="shared" ref="D164:D179" si="51">C164+D163</f>
        <v>99.999948520024319</v>
      </c>
      <c r="E164" s="13">
        <f t="shared" ref="E164:E179" si="52">D164/B$2</f>
        <v>0.99999948520024318</v>
      </c>
    </row>
    <row r="165" spans="1:7" x14ac:dyDescent="0.2">
      <c r="A165" s="15">
        <f t="shared" si="49"/>
        <v>164</v>
      </c>
      <c r="B165" s="18">
        <f t="shared" si="50"/>
        <v>5.1479975652337634E-5</v>
      </c>
      <c r="C165" s="5">
        <f t="shared" ref="C165:C180" si="53">B165*F$2</f>
        <v>4.3757979304486992E-6</v>
      </c>
      <c r="D165" s="28">
        <f t="shared" si="51"/>
        <v>99.999952895822247</v>
      </c>
      <c r="E165" s="13">
        <f t="shared" si="52"/>
        <v>0.99999952895822242</v>
      </c>
    </row>
    <row r="166" spans="1:7" x14ac:dyDescent="0.2">
      <c r="A166" s="15">
        <f t="shared" si="49"/>
        <v>165</v>
      </c>
      <c r="B166" s="18">
        <f t="shared" si="50"/>
        <v>4.7104177721888938E-5</v>
      </c>
      <c r="C166" s="5">
        <f t="shared" si="53"/>
        <v>4.0038551063605602E-6</v>
      </c>
      <c r="D166" s="28">
        <f t="shared" si="51"/>
        <v>99.999956899677358</v>
      </c>
      <c r="E166" s="13">
        <f t="shared" si="52"/>
        <v>0.99999956899677356</v>
      </c>
    </row>
    <row r="167" spans="1:7" x14ac:dyDescent="0.2">
      <c r="A167" s="15">
        <f t="shared" si="49"/>
        <v>166</v>
      </c>
      <c r="B167" s="18">
        <f t="shared" si="50"/>
        <v>4.3100322615528378E-5</v>
      </c>
      <c r="C167" s="5">
        <f t="shared" si="53"/>
        <v>3.6635274223199124E-6</v>
      </c>
      <c r="D167" s="28">
        <f t="shared" si="51"/>
        <v>99.99996056320478</v>
      </c>
      <c r="E167" s="13">
        <f t="shared" si="52"/>
        <v>0.99999960563204782</v>
      </c>
    </row>
    <row r="168" spans="1:7" x14ac:dyDescent="0.2">
      <c r="A168" s="15">
        <f t="shared" si="49"/>
        <v>167</v>
      </c>
      <c r="B168" s="18">
        <f t="shared" si="50"/>
        <v>3.9436795193208467E-5</v>
      </c>
      <c r="C168" s="5">
        <f t="shared" si="53"/>
        <v>3.3521275914227201E-6</v>
      </c>
      <c r="D168" s="28">
        <f t="shared" si="51"/>
        <v>99.999963915332373</v>
      </c>
      <c r="E168" s="13">
        <f t="shared" si="52"/>
        <v>0.99999963915332368</v>
      </c>
    </row>
    <row r="169" spans="1:7" x14ac:dyDescent="0.2">
      <c r="A169" s="15">
        <f t="shared" si="49"/>
        <v>168</v>
      </c>
      <c r="B169" s="18">
        <f t="shared" si="50"/>
        <v>3.6084667601785745E-5</v>
      </c>
      <c r="C169" s="5">
        <f t="shared" si="53"/>
        <v>3.0671967461517886E-6</v>
      </c>
      <c r="D169" s="28">
        <f t="shared" si="51"/>
        <v>99.999966982529116</v>
      </c>
      <c r="E169" s="13">
        <f t="shared" si="52"/>
        <v>0.9999996698252912</v>
      </c>
    </row>
    <row r="170" spans="1:7" x14ac:dyDescent="0.2">
      <c r="A170" s="15">
        <f t="shared" si="49"/>
        <v>169</v>
      </c>
      <c r="B170" s="18">
        <f t="shared" si="50"/>
        <v>3.3017470855633955E-5</v>
      </c>
      <c r="C170" s="5">
        <f t="shared" si="53"/>
        <v>2.8064850227288865E-6</v>
      </c>
      <c r="D170" s="28">
        <f t="shared" si="51"/>
        <v>99.999969789014145</v>
      </c>
      <c r="E170" s="13">
        <f t="shared" si="52"/>
        <v>0.99999969789014143</v>
      </c>
    </row>
    <row r="171" spans="1:7" x14ac:dyDescent="0.2">
      <c r="A171" s="15">
        <f t="shared" si="49"/>
        <v>170</v>
      </c>
      <c r="B171" s="18">
        <f t="shared" si="50"/>
        <v>3.0210985832905069E-5</v>
      </c>
      <c r="C171" s="5">
        <f t="shared" si="53"/>
        <v>2.5679337957969313E-6</v>
      </c>
      <c r="D171" s="28">
        <f t="shared" si="51"/>
        <v>99.999972356947936</v>
      </c>
      <c r="E171" s="13">
        <f t="shared" si="52"/>
        <v>0.9999997235694793</v>
      </c>
    </row>
    <row r="172" spans="1:7" x14ac:dyDescent="0.2">
      <c r="A172" s="15">
        <f t="shared" si="49"/>
        <v>171</v>
      </c>
      <c r="B172" s="18">
        <f t="shared" si="50"/>
        <v>2.7643052037108139E-5</v>
      </c>
      <c r="C172" s="5">
        <f t="shared" si="53"/>
        <v>2.3496594231541922E-6</v>
      </c>
      <c r="D172" s="28">
        <f t="shared" si="51"/>
        <v>99.999974706607361</v>
      </c>
      <c r="E172" s="13">
        <f t="shared" si="52"/>
        <v>0.99999974706607364</v>
      </c>
    </row>
    <row r="173" spans="1:7" x14ac:dyDescent="0.2">
      <c r="A173" s="15">
        <f t="shared" si="49"/>
        <v>172</v>
      </c>
      <c r="B173" s="18">
        <f t="shared" si="50"/>
        <v>2.5293392613953948E-5</v>
      </c>
      <c r="C173" s="5">
        <f t="shared" si="53"/>
        <v>2.1499383721860857E-6</v>
      </c>
      <c r="D173" s="28">
        <f t="shared" si="51"/>
        <v>99.999976856545729</v>
      </c>
      <c r="E173" s="13">
        <f t="shared" si="52"/>
        <v>0.99999976856545725</v>
      </c>
    </row>
    <row r="174" spans="1:7" x14ac:dyDescent="0.2">
      <c r="A174" s="15">
        <f t="shared" si="49"/>
        <v>173</v>
      </c>
      <c r="B174" s="18">
        <f t="shared" si="50"/>
        <v>2.3143454241767862E-5</v>
      </c>
      <c r="C174" s="5">
        <f t="shared" si="53"/>
        <v>1.9671936105502685E-6</v>
      </c>
      <c r="D174" s="28">
        <f t="shared" si="51"/>
        <v>99.99997882373934</v>
      </c>
      <c r="E174" s="13">
        <f t="shared" si="52"/>
        <v>0.99999978823739344</v>
      </c>
    </row>
    <row r="175" spans="1:7" x14ac:dyDescent="0.2">
      <c r="A175" s="15">
        <f t="shared" si="49"/>
        <v>174</v>
      </c>
      <c r="B175" s="18">
        <f t="shared" si="50"/>
        <v>2.1176260631217595E-5</v>
      </c>
      <c r="C175" s="5">
        <f t="shared" si="53"/>
        <v>1.7999821536534957E-6</v>
      </c>
      <c r="D175" s="28">
        <f t="shared" si="51"/>
        <v>99.999980623721498</v>
      </c>
      <c r="E175" s="13">
        <f t="shared" si="52"/>
        <v>0.99999980623721496</v>
      </c>
    </row>
    <row r="176" spans="1:7" x14ac:dyDescent="0.2">
      <c r="A176" s="15">
        <f t="shared" si="49"/>
        <v>175</v>
      </c>
      <c r="B176" s="18">
        <f t="shared" si="50"/>
        <v>1.93762784775641E-5</v>
      </c>
      <c r="C176" s="5">
        <f t="shared" si="53"/>
        <v>1.6469836705929486E-6</v>
      </c>
      <c r="D176" s="28">
        <f t="shared" si="51"/>
        <v>99.999982270705175</v>
      </c>
      <c r="E176" s="13">
        <f t="shared" si="52"/>
        <v>0.99999982270705179</v>
      </c>
    </row>
    <row r="177" spans="1:5" x14ac:dyDescent="0.2">
      <c r="A177" s="15">
        <f t="shared" si="49"/>
        <v>176</v>
      </c>
      <c r="B177" s="18">
        <f t="shared" si="50"/>
        <v>1.7729294806971152E-5</v>
      </c>
      <c r="C177" s="5">
        <f t="shared" si="53"/>
        <v>1.5069900585925481E-6</v>
      </c>
      <c r="D177" s="28">
        <f t="shared" si="51"/>
        <v>99.999983777695235</v>
      </c>
      <c r="E177" s="13">
        <f t="shared" si="52"/>
        <v>0.99999983777695234</v>
      </c>
    </row>
    <row r="178" spans="1:5" x14ac:dyDescent="0.2">
      <c r="A178" s="15">
        <f t="shared" si="49"/>
        <v>177</v>
      </c>
      <c r="B178" s="18">
        <f t="shared" si="50"/>
        <v>1.6222304748378603E-5</v>
      </c>
      <c r="C178" s="5">
        <f t="shared" si="53"/>
        <v>1.3788959036121813E-6</v>
      </c>
      <c r="D178" s="28">
        <f t="shared" si="51"/>
        <v>99.999985156591137</v>
      </c>
      <c r="E178" s="13">
        <f t="shared" si="52"/>
        <v>0.99999985156591142</v>
      </c>
    </row>
    <row r="179" spans="1:5" x14ac:dyDescent="0.2">
      <c r="A179" s="15">
        <f t="shared" si="49"/>
        <v>178</v>
      </c>
      <c r="B179" s="18">
        <f t="shared" si="50"/>
        <v>1.4843408844766422E-5</v>
      </c>
      <c r="C179" s="5">
        <f t="shared" si="53"/>
        <v>1.261689751805146E-6</v>
      </c>
      <c r="D179" s="28">
        <f t="shared" si="51"/>
        <v>99.999986418280884</v>
      </c>
      <c r="E179" s="13">
        <f t="shared" si="52"/>
        <v>0.99999986418280884</v>
      </c>
    </row>
    <row r="180" spans="1:5" x14ac:dyDescent="0.2">
      <c r="A180" s="15">
        <f>A179+1</f>
        <v>179</v>
      </c>
      <c r="B180" s="18">
        <f>B179-C179</f>
        <v>1.3581719092961276E-5</v>
      </c>
      <c r="C180" s="5">
        <f t="shared" si="53"/>
        <v>1.1544461229017084E-6</v>
      </c>
      <c r="D180" s="28">
        <f>C180+D179</f>
        <v>99.999987572727008</v>
      </c>
      <c r="E180" s="13">
        <f>D180/B$2</f>
        <v>0.99999987572727012</v>
      </c>
    </row>
  </sheetData>
  <sheetProtection password="CB05" sheet="1" objects="1" scenarios="1"/>
  <phoneticPr fontId="0" type="noConversion"/>
  <printOptions horizontalCentered="1" gridLines="1" gridLinesSet="0"/>
  <pageMargins left="0.75" right="0.75" top="1" bottom="1" header="0.5" footer="0.5"/>
  <pageSetup scale="75" orientation="portrait" horizontalDpi="30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topLeftCell="E1" workbookViewId="0">
      <selection activeCell="G1" sqref="G1:G6"/>
    </sheetView>
  </sheetViews>
  <sheetFormatPr defaultRowHeight="12.75" x14ac:dyDescent="0.2"/>
  <cols>
    <col min="2" max="2" width="13.7109375" customWidth="1"/>
    <col min="3" max="3" width="15.85546875" customWidth="1"/>
    <col min="4" max="4" width="18" customWidth="1"/>
    <col min="6" max="6" width="20" customWidth="1"/>
    <col min="7" max="7" width="20.5703125" customWidth="1"/>
    <col min="8" max="8" width="10.7109375" customWidth="1"/>
    <col min="9" max="9" width="9.28515625" customWidth="1"/>
    <col min="16" max="16" width="10.7109375" customWidth="1"/>
    <col min="17" max="17" width="13.28515625" customWidth="1"/>
    <col min="18" max="18" width="16.42578125" customWidth="1"/>
    <col min="19" max="19" width="17.7109375" customWidth="1"/>
  </cols>
  <sheetData>
    <row r="1" spans="1:19" x14ac:dyDescent="0.2">
      <c r="A1" t="s">
        <v>166</v>
      </c>
      <c r="B1" s="12" t="s">
        <v>169</v>
      </c>
      <c r="C1" t="s">
        <v>210</v>
      </c>
      <c r="F1" s="8">
        <v>2338.3000000000002</v>
      </c>
      <c r="G1" s="19"/>
      <c r="H1" s="76" t="s">
        <v>211</v>
      </c>
      <c r="I1" s="15" t="s">
        <v>212</v>
      </c>
      <c r="J1" s="15" t="s">
        <v>213</v>
      </c>
      <c r="K1" s="76" t="s">
        <v>214</v>
      </c>
      <c r="L1" s="15" t="s">
        <v>215</v>
      </c>
      <c r="M1" s="76" t="s">
        <v>216</v>
      </c>
      <c r="N1" s="76" t="s">
        <v>217</v>
      </c>
      <c r="O1" s="15" t="s">
        <v>218</v>
      </c>
      <c r="P1" s="76" t="s">
        <v>211</v>
      </c>
      <c r="Q1" s="76" t="s">
        <v>219</v>
      </c>
      <c r="R1" s="15" t="s">
        <v>220</v>
      </c>
      <c r="S1" s="19" t="s">
        <v>221</v>
      </c>
    </row>
    <row r="2" spans="1:19" x14ac:dyDescent="0.2">
      <c r="A2">
        <v>1</v>
      </c>
      <c r="B2" s="3">
        <v>1.7250000000000001</v>
      </c>
      <c r="C2" s="8">
        <f t="shared" ref="C2:C33" si="0">B2*F$1</f>
        <v>4033.5675000000006</v>
      </c>
      <c r="D2" s="8">
        <f t="shared" ref="D2:D33" si="1">B2*F$2</f>
        <v>806.71350000000018</v>
      </c>
      <c r="F2" s="8">
        <f>F1*0.2</f>
        <v>467.66000000000008</v>
      </c>
      <c r="G2" s="19" t="s">
        <v>222</v>
      </c>
      <c r="H2" s="44">
        <v>50</v>
      </c>
      <c r="I2" s="6">
        <v>3.5</v>
      </c>
      <c r="J2" s="6">
        <v>120</v>
      </c>
      <c r="K2" s="44">
        <v>0.1</v>
      </c>
      <c r="L2" s="6">
        <v>2</v>
      </c>
      <c r="M2" s="44">
        <v>5</v>
      </c>
      <c r="N2" s="44">
        <v>25</v>
      </c>
      <c r="O2" s="6">
        <v>0</v>
      </c>
      <c r="P2" s="44">
        <v>0</v>
      </c>
      <c r="Q2" s="44">
        <f t="shared" ref="Q2:Q9" si="2">(H2*I2)+(J2*K2)+(L2*M2)+(O2*P2)+N2</f>
        <v>222</v>
      </c>
      <c r="R2" s="6">
        <v>50</v>
      </c>
      <c r="S2" s="8">
        <f t="shared" ref="S2:S9" si="3">Q2*R2</f>
        <v>11100</v>
      </c>
    </row>
    <row r="3" spans="1:19" x14ac:dyDescent="0.2">
      <c r="A3">
        <v>2</v>
      </c>
      <c r="B3" s="3">
        <v>4.5999999999999996</v>
      </c>
      <c r="C3" s="8">
        <f t="shared" si="0"/>
        <v>10756.18</v>
      </c>
      <c r="D3" s="8">
        <f t="shared" si="1"/>
        <v>2151.2360000000003</v>
      </c>
      <c r="G3" s="19" t="s">
        <v>223</v>
      </c>
      <c r="H3" s="44">
        <v>50</v>
      </c>
      <c r="I3" s="6">
        <v>14</v>
      </c>
      <c r="J3" s="6">
        <v>30</v>
      </c>
      <c r="K3" s="44">
        <v>0.1</v>
      </c>
      <c r="L3" s="6">
        <v>4</v>
      </c>
      <c r="M3" s="44">
        <v>5</v>
      </c>
      <c r="N3" s="44">
        <v>25</v>
      </c>
      <c r="O3" s="6">
        <v>200</v>
      </c>
      <c r="P3" s="44">
        <v>0.32</v>
      </c>
      <c r="Q3" s="44">
        <f t="shared" si="2"/>
        <v>812</v>
      </c>
      <c r="R3" s="6">
        <v>50</v>
      </c>
      <c r="S3" s="8">
        <f t="shared" si="3"/>
        <v>40600</v>
      </c>
    </row>
    <row r="4" spans="1:19" x14ac:dyDescent="0.2">
      <c r="A4">
        <v>3</v>
      </c>
      <c r="B4" s="3">
        <v>9.3916590000000006</v>
      </c>
      <c r="C4" s="8">
        <f t="shared" si="0"/>
        <v>21960.516239700002</v>
      </c>
      <c r="D4" s="8">
        <f t="shared" si="1"/>
        <v>4392.103247940001</v>
      </c>
      <c r="G4" s="19" t="s">
        <v>224</v>
      </c>
      <c r="H4" s="44">
        <v>50</v>
      </c>
      <c r="I4" s="6">
        <v>40</v>
      </c>
      <c r="J4" s="6">
        <v>30</v>
      </c>
      <c r="K4" s="44">
        <v>0.1</v>
      </c>
      <c r="L4" s="6">
        <v>5</v>
      </c>
      <c r="M4" s="44">
        <v>5</v>
      </c>
      <c r="N4" s="44">
        <v>25</v>
      </c>
      <c r="O4" s="6">
        <v>250</v>
      </c>
      <c r="P4" s="44">
        <v>0.32</v>
      </c>
      <c r="Q4" s="44">
        <f t="shared" si="2"/>
        <v>2133</v>
      </c>
      <c r="R4" s="6">
        <v>20</v>
      </c>
      <c r="S4" s="8">
        <f t="shared" si="3"/>
        <v>42660</v>
      </c>
    </row>
    <row r="5" spans="1:19" x14ac:dyDescent="0.2">
      <c r="A5">
        <v>4</v>
      </c>
      <c r="B5" s="3">
        <v>15.141658999999999</v>
      </c>
      <c r="C5" s="8">
        <f t="shared" si="0"/>
        <v>35405.741239700001</v>
      </c>
      <c r="D5" s="8">
        <f t="shared" si="1"/>
        <v>7081.1482479400011</v>
      </c>
      <c r="G5" s="19" t="s">
        <v>225</v>
      </c>
      <c r="H5" s="44">
        <v>50</v>
      </c>
      <c r="I5" s="6">
        <v>3</v>
      </c>
      <c r="J5" s="6">
        <v>120</v>
      </c>
      <c r="K5" s="44">
        <v>0.1</v>
      </c>
      <c r="L5" s="6">
        <v>2</v>
      </c>
      <c r="M5" s="44">
        <v>5</v>
      </c>
      <c r="N5" s="44">
        <v>25</v>
      </c>
      <c r="O5" s="6">
        <v>200</v>
      </c>
      <c r="P5" s="44">
        <v>0.32</v>
      </c>
      <c r="Q5" s="44">
        <f t="shared" si="2"/>
        <v>261</v>
      </c>
      <c r="R5" s="6">
        <v>10</v>
      </c>
      <c r="S5" s="8">
        <f t="shared" si="3"/>
        <v>2610</v>
      </c>
    </row>
    <row r="6" spans="1:19" x14ac:dyDescent="0.2">
      <c r="A6">
        <v>5</v>
      </c>
      <c r="B6" s="3">
        <v>23.766659000000001</v>
      </c>
      <c r="C6" s="8">
        <f t="shared" si="0"/>
        <v>55573.578739700009</v>
      </c>
      <c r="D6" s="8">
        <f t="shared" si="1"/>
        <v>11114.715747940003</v>
      </c>
      <c r="G6" s="19" t="s">
        <v>226</v>
      </c>
      <c r="H6" s="44">
        <v>50</v>
      </c>
      <c r="I6" s="6">
        <v>10</v>
      </c>
      <c r="J6" s="6">
        <v>120</v>
      </c>
      <c r="K6" s="44">
        <v>0.1</v>
      </c>
      <c r="L6" s="6">
        <v>5</v>
      </c>
      <c r="M6" s="44">
        <v>5</v>
      </c>
      <c r="N6" s="44">
        <v>25</v>
      </c>
      <c r="O6" s="6">
        <v>200</v>
      </c>
      <c r="P6" s="44">
        <v>0.32</v>
      </c>
      <c r="Q6" s="44">
        <f t="shared" si="2"/>
        <v>626</v>
      </c>
      <c r="R6" s="6">
        <v>10</v>
      </c>
      <c r="S6" s="8">
        <f t="shared" si="3"/>
        <v>6260</v>
      </c>
    </row>
    <row r="7" spans="1:19" x14ac:dyDescent="0.2">
      <c r="A7">
        <v>6</v>
      </c>
      <c r="B7" s="3">
        <v>30.666659000000003</v>
      </c>
      <c r="C7" s="8">
        <f t="shared" si="0"/>
        <v>71707.848739700014</v>
      </c>
      <c r="D7" s="8">
        <f t="shared" si="1"/>
        <v>14341.569747940004</v>
      </c>
      <c r="G7" s="19" t="s">
        <v>227</v>
      </c>
      <c r="H7" s="44">
        <v>83</v>
      </c>
      <c r="I7" s="6">
        <v>40</v>
      </c>
      <c r="J7" s="6">
        <v>120</v>
      </c>
      <c r="K7" s="44">
        <v>0.1</v>
      </c>
      <c r="L7" s="6">
        <v>20</v>
      </c>
      <c r="M7" s="44">
        <v>5</v>
      </c>
      <c r="N7" s="44">
        <v>25</v>
      </c>
      <c r="O7" s="6">
        <v>250</v>
      </c>
      <c r="P7" s="44">
        <v>0.32</v>
      </c>
      <c r="Q7" s="44">
        <f t="shared" si="2"/>
        <v>3537</v>
      </c>
      <c r="R7" s="6">
        <v>20</v>
      </c>
      <c r="S7" s="8">
        <f t="shared" si="3"/>
        <v>70740</v>
      </c>
    </row>
    <row r="8" spans="1:19" x14ac:dyDescent="0.2">
      <c r="A8">
        <v>7</v>
      </c>
      <c r="B8" s="3">
        <v>36.416659000000003</v>
      </c>
      <c r="C8" s="8">
        <f t="shared" si="0"/>
        <v>85153.073739700019</v>
      </c>
      <c r="D8" s="8">
        <f t="shared" si="1"/>
        <v>17030.614747940006</v>
      </c>
      <c r="G8" s="19" t="s">
        <v>228</v>
      </c>
      <c r="H8" s="44">
        <v>75</v>
      </c>
      <c r="I8" s="6">
        <v>40</v>
      </c>
      <c r="J8" s="6">
        <v>120</v>
      </c>
      <c r="K8" s="44">
        <v>0.1</v>
      </c>
      <c r="L8" s="6">
        <v>20</v>
      </c>
      <c r="M8" s="44">
        <v>5</v>
      </c>
      <c r="N8" s="44">
        <v>25</v>
      </c>
      <c r="O8" s="6">
        <v>250</v>
      </c>
      <c r="P8" s="44">
        <v>0.32</v>
      </c>
      <c r="Q8" s="44">
        <f t="shared" si="2"/>
        <v>3217</v>
      </c>
      <c r="R8" s="6">
        <v>10</v>
      </c>
      <c r="S8" s="8">
        <f t="shared" si="3"/>
        <v>32170</v>
      </c>
    </row>
    <row r="9" spans="1:19" x14ac:dyDescent="0.2">
      <c r="A9">
        <v>8</v>
      </c>
      <c r="B9" s="3">
        <v>42.166659000000003</v>
      </c>
      <c r="C9" s="8">
        <f t="shared" si="0"/>
        <v>98598.298739700011</v>
      </c>
      <c r="D9" s="8">
        <f t="shared" si="1"/>
        <v>19719.659747940004</v>
      </c>
      <c r="G9" t="s">
        <v>229</v>
      </c>
      <c r="H9" s="75">
        <v>60</v>
      </c>
      <c r="I9" s="6">
        <v>20</v>
      </c>
      <c r="J9" s="6">
        <v>400</v>
      </c>
      <c r="K9" s="44">
        <v>0.1</v>
      </c>
      <c r="L9" s="6">
        <v>20</v>
      </c>
      <c r="M9" s="44">
        <v>5</v>
      </c>
      <c r="N9" s="44">
        <v>25</v>
      </c>
      <c r="O9" s="6">
        <v>250</v>
      </c>
      <c r="P9" s="8">
        <v>0.32</v>
      </c>
      <c r="Q9" s="44">
        <f t="shared" si="2"/>
        <v>1445</v>
      </c>
      <c r="R9" s="6">
        <v>20</v>
      </c>
      <c r="S9" s="8">
        <f t="shared" si="3"/>
        <v>28900</v>
      </c>
    </row>
    <row r="10" spans="1:19" x14ac:dyDescent="0.2">
      <c r="A10">
        <v>9</v>
      </c>
      <c r="B10" s="3">
        <v>47.916659000000003</v>
      </c>
      <c r="C10" s="8">
        <f t="shared" si="0"/>
        <v>112043.52373970002</v>
      </c>
      <c r="D10" s="8">
        <f t="shared" si="1"/>
        <v>22408.704747940006</v>
      </c>
      <c r="H10" s="44"/>
      <c r="I10" s="6"/>
      <c r="J10" s="6"/>
      <c r="K10" s="44"/>
      <c r="L10" s="6"/>
      <c r="M10" s="44"/>
      <c r="N10" s="44"/>
      <c r="O10" s="6"/>
      <c r="P10" t="s">
        <v>230</v>
      </c>
      <c r="S10" s="9">
        <f>SUM(S2:S9)</f>
        <v>235040</v>
      </c>
    </row>
    <row r="11" spans="1:19" x14ac:dyDescent="0.2">
      <c r="A11">
        <v>10</v>
      </c>
      <c r="B11" s="3">
        <v>53.666659000000003</v>
      </c>
      <c r="C11" s="8">
        <f t="shared" si="0"/>
        <v>125488.74873970002</v>
      </c>
      <c r="D11" s="8">
        <f t="shared" si="1"/>
        <v>25097.749747940004</v>
      </c>
      <c r="H11" s="44"/>
      <c r="I11" s="6"/>
      <c r="J11" s="6"/>
      <c r="K11" s="44"/>
      <c r="L11" s="6"/>
      <c r="M11" s="44"/>
      <c r="N11" s="44"/>
      <c r="O11" s="6"/>
      <c r="Q11" s="44" t="s">
        <v>231</v>
      </c>
      <c r="R11" s="44"/>
      <c r="S11" s="8">
        <f>S10/100</f>
        <v>2350.4</v>
      </c>
    </row>
    <row r="12" spans="1:19" x14ac:dyDescent="0.2">
      <c r="A12">
        <v>11</v>
      </c>
      <c r="B12" s="3">
        <v>60.375</v>
      </c>
      <c r="C12" s="8">
        <f t="shared" si="0"/>
        <v>141174.86250000002</v>
      </c>
      <c r="D12" s="8">
        <f t="shared" si="1"/>
        <v>28234.972500000003</v>
      </c>
      <c r="H12" s="44"/>
      <c r="I12" s="6"/>
      <c r="J12" s="6"/>
      <c r="K12" s="44"/>
      <c r="L12" s="6"/>
      <c r="M12" s="44"/>
      <c r="N12" s="44"/>
      <c r="O12" s="10">
        <f>S11/21300</f>
        <v>0.11034741784037559</v>
      </c>
      <c r="P12" s="74" t="s">
        <v>232</v>
      </c>
      <c r="Q12" s="44"/>
      <c r="S12" s="44">
        <v>21300</v>
      </c>
    </row>
    <row r="13" spans="1:19" x14ac:dyDescent="0.2">
      <c r="A13">
        <v>12</v>
      </c>
      <c r="B13" s="5">
        <v>67.083341000000004</v>
      </c>
      <c r="C13" s="8">
        <f t="shared" si="0"/>
        <v>156860.97626030003</v>
      </c>
      <c r="D13" s="8">
        <f t="shared" si="1"/>
        <v>31372.195252060006</v>
      </c>
      <c r="H13" s="44"/>
      <c r="I13" s="6"/>
      <c r="J13" s="6"/>
      <c r="K13" s="44"/>
      <c r="L13" s="6"/>
      <c r="M13" s="44"/>
      <c r="N13" s="44"/>
      <c r="O13" s="10">
        <f>S11/S13</f>
        <v>0.20800000000000002</v>
      </c>
      <c r="P13" s="73" t="s">
        <v>233</v>
      </c>
      <c r="Q13" s="44"/>
      <c r="S13" s="44">
        <v>11300</v>
      </c>
    </row>
    <row r="14" spans="1:19" x14ac:dyDescent="0.2">
      <c r="A14">
        <v>13</v>
      </c>
      <c r="B14" s="3">
        <v>56.58</v>
      </c>
      <c r="C14" s="8">
        <f t="shared" si="0"/>
        <v>132301.014</v>
      </c>
      <c r="D14" s="8">
        <f t="shared" si="1"/>
        <v>26460.202800000003</v>
      </c>
      <c r="H14" s="44"/>
      <c r="I14" s="6"/>
      <c r="J14" s="6"/>
      <c r="K14" s="44"/>
      <c r="L14" s="6"/>
      <c r="M14" s="44"/>
      <c r="N14" s="44"/>
      <c r="O14" s="6"/>
      <c r="P14" t="s">
        <v>234</v>
      </c>
      <c r="R14" s="72">
        <v>0.2</v>
      </c>
      <c r="S14" s="44">
        <f>S10*R14</f>
        <v>47008</v>
      </c>
    </row>
    <row r="15" spans="1:19" x14ac:dyDescent="0.2">
      <c r="A15">
        <v>14</v>
      </c>
      <c r="B15" s="3">
        <v>56.97605999999999</v>
      </c>
      <c r="C15" s="8">
        <f t="shared" si="0"/>
        <v>133227.12109799997</v>
      </c>
      <c r="D15" s="8">
        <f t="shared" si="1"/>
        <v>26645.424219600001</v>
      </c>
    </row>
    <row r="16" spans="1:19" x14ac:dyDescent="0.2">
      <c r="A16">
        <v>15</v>
      </c>
      <c r="B16" s="3">
        <v>57.374892419999981</v>
      </c>
      <c r="C16" s="8">
        <f t="shared" si="0"/>
        <v>134159.71094568598</v>
      </c>
      <c r="D16" s="8">
        <f t="shared" si="1"/>
        <v>26831.942189137197</v>
      </c>
    </row>
    <row r="17" spans="1:4" x14ac:dyDescent="0.2">
      <c r="A17">
        <v>16</v>
      </c>
      <c r="B17" s="3">
        <v>57.776516666939976</v>
      </c>
      <c r="C17" s="8">
        <f t="shared" si="0"/>
        <v>135098.82892230575</v>
      </c>
      <c r="D17" s="8">
        <f t="shared" si="1"/>
        <v>27019.765784461153</v>
      </c>
    </row>
    <row r="18" spans="1:4" x14ac:dyDescent="0.2">
      <c r="A18">
        <v>17</v>
      </c>
      <c r="B18" s="3">
        <v>58.180952283608548</v>
      </c>
      <c r="C18" s="8">
        <f t="shared" si="0"/>
        <v>136044.52072476188</v>
      </c>
      <c r="D18" s="8">
        <f t="shared" si="1"/>
        <v>27208.904144952379</v>
      </c>
    </row>
    <row r="19" spans="1:4" x14ac:dyDescent="0.2">
      <c r="A19">
        <v>18</v>
      </c>
      <c r="B19" s="3">
        <v>58.588218949593802</v>
      </c>
      <c r="C19" s="8">
        <f t="shared" si="0"/>
        <v>136996.8323698352</v>
      </c>
      <c r="D19" s="8">
        <f t="shared" si="1"/>
        <v>27399.366473967042</v>
      </c>
    </row>
    <row r="20" spans="1:4" x14ac:dyDescent="0.2">
      <c r="A20">
        <v>19</v>
      </c>
      <c r="B20" s="3">
        <v>58.998336482240951</v>
      </c>
      <c r="C20" s="8">
        <f t="shared" si="0"/>
        <v>137955.81019642402</v>
      </c>
      <c r="D20" s="8">
        <f t="shared" si="1"/>
        <v>27591.162039284809</v>
      </c>
    </row>
    <row r="21" spans="1:4" x14ac:dyDescent="0.2">
      <c r="A21">
        <v>20</v>
      </c>
      <c r="B21" s="3">
        <v>59.411324837616625</v>
      </c>
      <c r="C21" s="8">
        <f t="shared" si="0"/>
        <v>138921.50086779895</v>
      </c>
      <c r="D21" s="8">
        <f t="shared" si="1"/>
        <v>27784.300173559797</v>
      </c>
    </row>
    <row r="22" spans="1:4" x14ac:dyDescent="0.2">
      <c r="A22">
        <v>21</v>
      </c>
      <c r="B22" s="3">
        <v>59.827204111479944</v>
      </c>
      <c r="C22" s="8">
        <f t="shared" si="0"/>
        <v>139893.95137387357</v>
      </c>
      <c r="D22" s="8">
        <f t="shared" si="1"/>
        <v>27978.790274774714</v>
      </c>
    </row>
    <row r="23" spans="1:4" x14ac:dyDescent="0.2">
      <c r="A23">
        <v>22</v>
      </c>
      <c r="B23" s="3">
        <v>60.245994540260298</v>
      </c>
      <c r="C23" s="8">
        <f t="shared" si="0"/>
        <v>140873.20903349065</v>
      </c>
      <c r="D23" s="8">
        <f t="shared" si="1"/>
        <v>28174.641806698135</v>
      </c>
    </row>
    <row r="24" spans="1:4" x14ac:dyDescent="0.2">
      <c r="A24">
        <v>23</v>
      </c>
      <c r="B24" s="3">
        <v>60.667716502042111</v>
      </c>
      <c r="C24" s="8">
        <f t="shared" si="0"/>
        <v>141859.32149672508</v>
      </c>
      <c r="D24" s="8">
        <f t="shared" si="1"/>
        <v>28371.864299345019</v>
      </c>
    </row>
    <row r="25" spans="1:4" x14ac:dyDescent="0.2">
      <c r="A25">
        <v>24</v>
      </c>
      <c r="B25" s="5">
        <v>61.092390517556403</v>
      </c>
      <c r="C25" s="8">
        <f t="shared" si="0"/>
        <v>142852.33674720215</v>
      </c>
      <c r="D25" s="8">
        <f t="shared" si="1"/>
        <v>28570.467349440434</v>
      </c>
    </row>
    <row r="26" spans="1:4" x14ac:dyDescent="0.2">
      <c r="A26">
        <v>25</v>
      </c>
      <c r="B26" s="3">
        <v>61.520037251179282</v>
      </c>
      <c r="C26" s="8">
        <f t="shared" si="0"/>
        <v>143852.30310443253</v>
      </c>
      <c r="D26" s="8">
        <f t="shared" si="1"/>
        <v>28770.460620886508</v>
      </c>
    </row>
    <row r="27" spans="1:4" x14ac:dyDescent="0.2">
      <c r="A27">
        <v>26</v>
      </c>
      <c r="B27" s="3">
        <v>61.950677511937535</v>
      </c>
      <c r="C27" s="8">
        <f t="shared" si="0"/>
        <v>144859.26922616354</v>
      </c>
      <c r="D27" s="8">
        <f t="shared" si="1"/>
        <v>28971.853845232712</v>
      </c>
    </row>
    <row r="28" spans="1:4" x14ac:dyDescent="0.2">
      <c r="A28">
        <v>27</v>
      </c>
      <c r="B28" s="3">
        <v>62.384332254521084</v>
      </c>
      <c r="C28" s="8">
        <f t="shared" si="0"/>
        <v>145873.28411074667</v>
      </c>
      <c r="D28" s="8">
        <f t="shared" si="1"/>
        <v>29174.656822149336</v>
      </c>
    </row>
    <row r="29" spans="1:4" x14ac:dyDescent="0.2">
      <c r="A29">
        <v>28</v>
      </c>
      <c r="B29" s="3">
        <v>62.821022580302738</v>
      </c>
      <c r="C29" s="8">
        <f t="shared" si="0"/>
        <v>146894.39709952191</v>
      </c>
      <c r="D29" s="8">
        <f t="shared" si="1"/>
        <v>29378.879419904384</v>
      </c>
    </row>
    <row r="30" spans="1:4" x14ac:dyDescent="0.2">
      <c r="A30">
        <v>29</v>
      </c>
      <c r="B30" s="3">
        <v>63.260769738364843</v>
      </c>
      <c r="C30" s="8">
        <f t="shared" si="0"/>
        <v>147922.65787921852</v>
      </c>
      <c r="D30" s="8">
        <f t="shared" si="1"/>
        <v>29584.531575843706</v>
      </c>
    </row>
    <row r="31" spans="1:4" x14ac:dyDescent="0.2">
      <c r="A31">
        <v>30</v>
      </c>
      <c r="B31" s="3">
        <v>63.703595126533394</v>
      </c>
      <c r="C31" s="8">
        <f t="shared" si="0"/>
        <v>148958.11648437305</v>
      </c>
      <c r="D31" s="8">
        <f t="shared" si="1"/>
        <v>29791.623296874612</v>
      </c>
    </row>
    <row r="32" spans="1:4" x14ac:dyDescent="0.2">
      <c r="A32">
        <v>31</v>
      </c>
      <c r="B32" s="3">
        <v>64.149520292419126</v>
      </c>
      <c r="C32" s="8">
        <f t="shared" si="0"/>
        <v>150000.82329976367</v>
      </c>
      <c r="D32" s="8">
        <f t="shared" si="1"/>
        <v>30000.164659952734</v>
      </c>
    </row>
    <row r="33" spans="1:4" x14ac:dyDescent="0.2">
      <c r="A33">
        <v>32</v>
      </c>
      <c r="B33" s="3">
        <v>64.598566934466049</v>
      </c>
      <c r="C33" s="8">
        <f t="shared" si="0"/>
        <v>151050.82906286197</v>
      </c>
      <c r="D33" s="8">
        <f t="shared" si="1"/>
        <v>30210.165812572399</v>
      </c>
    </row>
    <row r="34" spans="1:4" x14ac:dyDescent="0.2">
      <c r="A34">
        <v>33</v>
      </c>
      <c r="B34" s="3">
        <v>65.050756903007311</v>
      </c>
      <c r="C34" s="8">
        <f t="shared" ref="C34:C61" si="4">B34*F$1</f>
        <v>152108.18486630201</v>
      </c>
      <c r="D34" s="8">
        <f t="shared" ref="D34:D61" si="5">B34*F$2</f>
        <v>30421.636973260403</v>
      </c>
    </row>
    <row r="35" spans="1:4" x14ac:dyDescent="0.2">
      <c r="A35">
        <v>34</v>
      </c>
      <c r="B35" s="3">
        <v>65.506112201328349</v>
      </c>
      <c r="C35" s="8">
        <f t="shared" si="4"/>
        <v>153172.9421603661</v>
      </c>
      <c r="D35" s="8">
        <f t="shared" si="5"/>
        <v>30634.588432073222</v>
      </c>
    </row>
    <row r="36" spans="1:4" x14ac:dyDescent="0.2">
      <c r="A36">
        <v>35</v>
      </c>
      <c r="B36" s="3">
        <v>65.964654986737628</v>
      </c>
      <c r="C36" s="8">
        <f t="shared" si="4"/>
        <v>154245.15275548861</v>
      </c>
      <c r="D36" s="8">
        <f t="shared" si="5"/>
        <v>30849.030551097723</v>
      </c>
    </row>
    <row r="37" spans="1:4" x14ac:dyDescent="0.2">
      <c r="A37">
        <v>36</v>
      </c>
      <c r="B37" s="5">
        <v>66.426407571644788</v>
      </c>
      <c r="C37" s="8">
        <f t="shared" si="4"/>
        <v>155324.86882477702</v>
      </c>
      <c r="D37" s="8">
        <f t="shared" si="5"/>
        <v>31064.973764955408</v>
      </c>
    </row>
    <row r="38" spans="1:4" x14ac:dyDescent="0.2">
      <c r="A38">
        <v>37</v>
      </c>
      <c r="B38" s="3">
        <v>66.891392424646298</v>
      </c>
      <c r="C38" s="8">
        <f t="shared" si="4"/>
        <v>156412.14290655046</v>
      </c>
      <c r="D38" s="8">
        <f t="shared" si="5"/>
        <v>31282.428581310094</v>
      </c>
    </row>
    <row r="39" spans="1:4" x14ac:dyDescent="0.2">
      <c r="A39">
        <v>38</v>
      </c>
      <c r="B39" s="3">
        <v>67.359632171618813</v>
      </c>
      <c r="C39" s="8">
        <f t="shared" si="4"/>
        <v>157507.02790689628</v>
      </c>
      <c r="D39" s="8">
        <f t="shared" si="5"/>
        <v>31501.405581379258</v>
      </c>
    </row>
    <row r="40" spans="1:4" x14ac:dyDescent="0.2">
      <c r="A40">
        <v>39</v>
      </c>
      <c r="B40" s="3">
        <v>67.83114959682014</v>
      </c>
      <c r="C40" s="8">
        <f t="shared" si="4"/>
        <v>158609.57710224454</v>
      </c>
      <c r="D40" s="8">
        <f t="shared" si="5"/>
        <v>31721.915420448913</v>
      </c>
    </row>
    <row r="41" spans="1:4" x14ac:dyDescent="0.2">
      <c r="A41">
        <v>40</v>
      </c>
      <c r="B41" s="3">
        <v>68.305967643997874</v>
      </c>
      <c r="C41" s="8">
        <f t="shared" si="4"/>
        <v>159719.84414196023</v>
      </c>
      <c r="D41" s="8">
        <f t="shared" si="5"/>
        <v>31943.968828392051</v>
      </c>
    </row>
    <row r="42" spans="1:4" x14ac:dyDescent="0.2">
      <c r="A42">
        <v>41</v>
      </c>
      <c r="B42" s="3">
        <v>68.78410941750586</v>
      </c>
      <c r="C42" s="8">
        <f t="shared" si="4"/>
        <v>160837.88305095397</v>
      </c>
      <c r="D42" s="8">
        <f t="shared" si="5"/>
        <v>32167.576610190798</v>
      </c>
    </row>
    <row r="43" spans="1:4" x14ac:dyDescent="0.2">
      <c r="A43">
        <v>42</v>
      </c>
      <c r="B43" s="3">
        <v>69.265598183428381</v>
      </c>
      <c r="C43" s="8">
        <f t="shared" si="4"/>
        <v>161963.74823231061</v>
      </c>
      <c r="D43" s="8">
        <f t="shared" si="5"/>
        <v>32392.749646462122</v>
      </c>
    </row>
    <row r="44" spans="1:4" x14ac:dyDescent="0.2">
      <c r="A44">
        <v>43</v>
      </c>
      <c r="B44" s="3">
        <v>69.750457370712382</v>
      </c>
      <c r="C44" s="8">
        <f t="shared" si="4"/>
        <v>163097.49446993676</v>
      </c>
      <c r="D44" s="8">
        <f t="shared" si="5"/>
        <v>32619.498893987358</v>
      </c>
    </row>
    <row r="45" spans="1:4" x14ac:dyDescent="0.2">
      <c r="A45">
        <v>44</v>
      </c>
      <c r="B45" s="3">
        <v>70.238710572307369</v>
      </c>
      <c r="C45" s="8">
        <f t="shared" si="4"/>
        <v>164239.17693122634</v>
      </c>
      <c r="D45" s="8">
        <f t="shared" si="5"/>
        <v>32847.835386245271</v>
      </c>
    </row>
    <row r="46" spans="1:4" x14ac:dyDescent="0.2">
      <c r="A46">
        <v>45</v>
      </c>
      <c r="B46" s="3">
        <v>70.730381546313509</v>
      </c>
      <c r="C46" s="8">
        <f t="shared" si="4"/>
        <v>165388.85116974488</v>
      </c>
      <c r="D46" s="8">
        <f t="shared" si="5"/>
        <v>33077.770233948984</v>
      </c>
    </row>
    <row r="47" spans="1:4" x14ac:dyDescent="0.2">
      <c r="A47">
        <v>46</v>
      </c>
      <c r="B47" s="3">
        <v>71.225494217137694</v>
      </c>
      <c r="C47" s="8">
        <f t="shared" si="4"/>
        <v>166546.57312793308</v>
      </c>
      <c r="D47" s="8">
        <f t="shared" si="5"/>
        <v>33309.314625586623</v>
      </c>
    </row>
    <row r="48" spans="1:4" x14ac:dyDescent="0.2">
      <c r="A48">
        <v>47</v>
      </c>
      <c r="B48" s="3">
        <v>71.724072676657642</v>
      </c>
      <c r="C48" s="8">
        <f t="shared" si="4"/>
        <v>167712.39913982857</v>
      </c>
      <c r="D48" s="8">
        <f t="shared" si="5"/>
        <v>33542.479827965719</v>
      </c>
    </row>
    <row r="49" spans="1:5" x14ac:dyDescent="0.2">
      <c r="A49">
        <v>48</v>
      </c>
      <c r="B49" s="5">
        <v>72.226141185394241</v>
      </c>
      <c r="C49" s="8">
        <f t="shared" si="4"/>
        <v>168886.38593380735</v>
      </c>
      <c r="D49" s="8">
        <f t="shared" si="5"/>
        <v>33777.277186761479</v>
      </c>
    </row>
    <row r="50" spans="1:5" x14ac:dyDescent="0.2">
      <c r="A50">
        <v>49</v>
      </c>
      <c r="B50" s="24">
        <v>72.731724173692001</v>
      </c>
      <c r="C50" s="8">
        <f t="shared" si="4"/>
        <v>170068.59063534401</v>
      </c>
      <c r="D50" s="8">
        <f t="shared" si="5"/>
        <v>34013.718127068809</v>
      </c>
    </row>
    <row r="51" spans="1:5" x14ac:dyDescent="0.2">
      <c r="A51">
        <v>50</v>
      </c>
      <c r="B51" s="24">
        <v>73.240846242907836</v>
      </c>
      <c r="C51" s="8">
        <f t="shared" si="4"/>
        <v>171259.0707697914</v>
      </c>
      <c r="D51" s="8">
        <f t="shared" si="5"/>
        <v>34251.814153958287</v>
      </c>
    </row>
    <row r="52" spans="1:5" x14ac:dyDescent="0.2">
      <c r="A52">
        <v>51</v>
      </c>
      <c r="B52" s="24">
        <v>73.753532166608181</v>
      </c>
      <c r="C52" s="8">
        <f t="shared" si="4"/>
        <v>172457.88426517992</v>
      </c>
      <c r="D52" s="8">
        <f t="shared" si="5"/>
        <v>34491.576853035986</v>
      </c>
    </row>
    <row r="53" spans="1:5" x14ac:dyDescent="0.2">
      <c r="A53">
        <v>52</v>
      </c>
      <c r="B53" s="24">
        <v>74.269806891774422</v>
      </c>
      <c r="C53" s="8">
        <f t="shared" si="4"/>
        <v>173665.08945503616</v>
      </c>
      <c r="D53" s="8">
        <f t="shared" si="5"/>
        <v>34733.017891007235</v>
      </c>
    </row>
    <row r="54" spans="1:5" x14ac:dyDescent="0.2">
      <c r="A54">
        <v>53</v>
      </c>
      <c r="B54" s="24">
        <v>74.789695540016837</v>
      </c>
      <c r="C54" s="8">
        <f t="shared" si="4"/>
        <v>174880.74508122139</v>
      </c>
      <c r="D54" s="8">
        <f t="shared" si="5"/>
        <v>34976.149016244279</v>
      </c>
    </row>
    <row r="55" spans="1:5" x14ac:dyDescent="0.2">
      <c r="A55">
        <v>54</v>
      </c>
      <c r="B55" s="24">
        <v>75.313223408796958</v>
      </c>
      <c r="C55" s="8">
        <f t="shared" si="4"/>
        <v>176104.91029678995</v>
      </c>
      <c r="D55" s="8">
        <f t="shared" si="5"/>
        <v>35220.982059357993</v>
      </c>
    </row>
    <row r="56" spans="1:5" x14ac:dyDescent="0.2">
      <c r="A56">
        <v>55</v>
      </c>
      <c r="B56" s="24">
        <v>75.840415972658519</v>
      </c>
      <c r="C56" s="8">
        <f t="shared" si="4"/>
        <v>177337.64466886743</v>
      </c>
      <c r="D56" s="8">
        <f t="shared" si="5"/>
        <v>35467.528933773487</v>
      </c>
    </row>
    <row r="57" spans="1:5" x14ac:dyDescent="0.2">
      <c r="A57">
        <v>56</v>
      </c>
      <c r="B57" s="24">
        <v>76.371298884467123</v>
      </c>
      <c r="C57" s="8">
        <f t="shared" si="4"/>
        <v>178579.00818154949</v>
      </c>
      <c r="D57" s="8">
        <f t="shared" si="5"/>
        <v>35715.801636309901</v>
      </c>
    </row>
    <row r="58" spans="1:5" x14ac:dyDescent="0.2">
      <c r="A58">
        <v>57</v>
      </c>
      <c r="B58" s="24">
        <v>76.90589797665838</v>
      </c>
      <c r="C58" s="8">
        <f t="shared" si="4"/>
        <v>179829.06123882032</v>
      </c>
      <c r="D58" s="8">
        <f t="shared" si="5"/>
        <v>35965.812247764065</v>
      </c>
    </row>
    <row r="59" spans="1:5" x14ac:dyDescent="0.2">
      <c r="A59">
        <v>58</v>
      </c>
      <c r="B59" s="24">
        <v>77.444239262494989</v>
      </c>
      <c r="C59" s="8">
        <f t="shared" si="4"/>
        <v>181087.86466749205</v>
      </c>
      <c r="D59" s="8">
        <f t="shared" si="5"/>
        <v>36217.572933498413</v>
      </c>
    </row>
    <row r="60" spans="1:5" x14ac:dyDescent="0.2">
      <c r="A60">
        <v>59</v>
      </c>
      <c r="B60" s="24">
        <v>77.986348937332437</v>
      </c>
      <c r="C60" s="8">
        <f t="shared" si="4"/>
        <v>182355.47972016444</v>
      </c>
      <c r="D60" s="8">
        <f t="shared" si="5"/>
        <v>36471.095944032895</v>
      </c>
    </row>
    <row r="61" spans="1:5" x14ac:dyDescent="0.2">
      <c r="A61">
        <v>60</v>
      </c>
      <c r="B61" s="5">
        <v>78.53225337989376</v>
      </c>
      <c r="C61" s="8">
        <f t="shared" si="4"/>
        <v>183631.96807820559</v>
      </c>
      <c r="D61" s="8">
        <f t="shared" si="5"/>
        <v>36726.393615641122</v>
      </c>
    </row>
    <row r="62" spans="1:5" x14ac:dyDescent="0.2">
      <c r="B62" s="3"/>
      <c r="C62" s="8"/>
      <c r="D62" s="8">
        <f>SUM(D2:D61)</f>
        <v>1687076.4647999748</v>
      </c>
      <c r="E62" s="9"/>
    </row>
    <row r="63" spans="1:5" x14ac:dyDescent="0.2">
      <c r="D63" s="8">
        <f>D62/12</f>
        <v>140589.70539999791</v>
      </c>
    </row>
  </sheetData>
  <phoneticPr fontId="0" type="noConversion"/>
  <printOptions horizontalCentered="1" gridLines="1" gridLinesSet="0"/>
  <pageMargins left="0.75" right="0.75" top="1" bottom="1" header="0.5" footer="0.5"/>
  <pageSetup scale="80" orientation="landscape" r:id="rId1"/>
  <headerFooter alignWithMargins="0">
    <oddHeader>&amp;A</oddHeader>
    <oddFooter>Page &amp;P</oddFooter>
  </headerFooter>
  <rowBreaks count="1" manualBreakCount="1">
    <brk id="60" max="65535"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topLeftCell="A8" workbookViewId="0">
      <selection activeCell="A18" sqref="A18"/>
    </sheetView>
  </sheetViews>
  <sheetFormatPr defaultRowHeight="12.75" x14ac:dyDescent="0.2"/>
  <cols>
    <col min="1" max="1" width="41.42578125" customWidth="1"/>
    <col min="2" max="2" width="9.85546875" customWidth="1"/>
    <col min="5" max="5" width="10.5703125" customWidth="1"/>
  </cols>
  <sheetData>
    <row r="1" spans="1:5" ht="18" customHeight="1" x14ac:dyDescent="0.2">
      <c r="A1" t="s">
        <v>235</v>
      </c>
      <c r="E1" s="2">
        <f>SUM(E3:E16)</f>
        <v>3.5400000000000005</v>
      </c>
    </row>
    <row r="2" spans="1:5" ht="18" customHeight="1" x14ac:dyDescent="0.2">
      <c r="A2" t="s">
        <v>236</v>
      </c>
      <c r="B2" s="6" t="s">
        <v>237</v>
      </c>
      <c r="C2" t="s">
        <v>238</v>
      </c>
      <c r="D2" t="s">
        <v>239</v>
      </c>
      <c r="E2" t="s">
        <v>240</v>
      </c>
    </row>
    <row r="3" spans="1:5" ht="27" customHeight="1" x14ac:dyDescent="0.2">
      <c r="A3" s="59" t="s">
        <v>241</v>
      </c>
      <c r="B3" s="6">
        <v>1</v>
      </c>
      <c r="C3" s="6">
        <v>1</v>
      </c>
      <c r="D3" s="11">
        <v>0.1</v>
      </c>
      <c r="E3" s="6">
        <f>(B3*C3)*D3</f>
        <v>0.1</v>
      </c>
    </row>
    <row r="4" spans="1:5" ht="27" customHeight="1" x14ac:dyDescent="0.2">
      <c r="A4" s="59" t="s">
        <v>242</v>
      </c>
      <c r="B4" s="6">
        <v>1</v>
      </c>
      <c r="C4" s="6">
        <v>1</v>
      </c>
      <c r="D4" s="11">
        <v>0.1</v>
      </c>
      <c r="E4" s="6">
        <f>(B4*C4)*D4</f>
        <v>0.1</v>
      </c>
    </row>
    <row r="5" spans="1:5" ht="27" customHeight="1" x14ac:dyDescent="0.2">
      <c r="A5" s="59" t="s">
        <v>243</v>
      </c>
      <c r="B5" s="6">
        <v>2</v>
      </c>
      <c r="C5" s="6">
        <v>1</v>
      </c>
      <c r="D5" s="11">
        <v>0.3</v>
      </c>
      <c r="E5" s="6">
        <f>(B5*C5)*D5</f>
        <v>0.6</v>
      </c>
    </row>
    <row r="6" spans="1:5" ht="27" customHeight="1" x14ac:dyDescent="0.2">
      <c r="A6" s="59" t="s">
        <v>244</v>
      </c>
      <c r="B6" s="6">
        <v>2</v>
      </c>
      <c r="C6" s="6">
        <v>1</v>
      </c>
      <c r="D6" s="11">
        <v>0.2</v>
      </c>
      <c r="E6" s="6">
        <f t="shared" ref="E6:E16" si="0">(B6*C6)*D6</f>
        <v>0.4</v>
      </c>
    </row>
    <row r="7" spans="1:5" ht="27" customHeight="1" x14ac:dyDescent="0.2">
      <c r="A7" s="59" t="s">
        <v>245</v>
      </c>
      <c r="B7" s="6">
        <v>1</v>
      </c>
      <c r="C7" s="6">
        <v>1</v>
      </c>
      <c r="D7" s="11">
        <v>0.1</v>
      </c>
      <c r="E7" s="6">
        <f t="shared" si="0"/>
        <v>0.1</v>
      </c>
    </row>
    <row r="8" spans="1:5" ht="27" customHeight="1" x14ac:dyDescent="0.2">
      <c r="A8" s="59" t="s">
        <v>246</v>
      </c>
      <c r="B8" s="6">
        <v>1</v>
      </c>
      <c r="C8" s="6">
        <v>1</v>
      </c>
      <c r="D8" s="11">
        <v>0.2</v>
      </c>
      <c r="E8" s="6">
        <f t="shared" si="0"/>
        <v>0.2</v>
      </c>
    </row>
    <row r="9" spans="1:5" ht="27" customHeight="1" x14ac:dyDescent="0.2">
      <c r="A9" s="59" t="s">
        <v>247</v>
      </c>
      <c r="B9" s="6">
        <v>1</v>
      </c>
      <c r="C9" s="6">
        <v>1</v>
      </c>
      <c r="D9" s="11">
        <v>0.1</v>
      </c>
      <c r="E9" s="6">
        <f t="shared" si="0"/>
        <v>0.1</v>
      </c>
    </row>
    <row r="10" spans="1:5" ht="27" customHeight="1" x14ac:dyDescent="0.2">
      <c r="A10" s="59" t="s">
        <v>248</v>
      </c>
      <c r="B10" s="6">
        <v>1</v>
      </c>
      <c r="C10" s="6">
        <v>1</v>
      </c>
      <c r="D10" s="11">
        <v>0.1</v>
      </c>
      <c r="E10" s="6">
        <f t="shared" si="0"/>
        <v>0.1</v>
      </c>
    </row>
    <row r="11" spans="1:5" ht="27" customHeight="1" x14ac:dyDescent="0.2">
      <c r="A11" s="59" t="s">
        <v>249</v>
      </c>
      <c r="B11" s="6">
        <v>1</v>
      </c>
      <c r="C11" s="6">
        <v>1</v>
      </c>
      <c r="D11" s="11">
        <v>0.1</v>
      </c>
      <c r="E11" s="6">
        <f t="shared" si="0"/>
        <v>0.1</v>
      </c>
    </row>
    <row r="12" spans="1:5" ht="27" customHeight="1" x14ac:dyDescent="0.2">
      <c r="A12" s="59" t="s">
        <v>250</v>
      </c>
      <c r="B12" s="6">
        <v>1</v>
      </c>
      <c r="C12" s="6">
        <v>0.3</v>
      </c>
      <c r="D12" s="11">
        <v>0.3</v>
      </c>
      <c r="E12" s="6">
        <f t="shared" si="0"/>
        <v>0.09</v>
      </c>
    </row>
    <row r="13" spans="1:5" ht="27" customHeight="1" x14ac:dyDescent="0.2">
      <c r="A13" s="59" t="s">
        <v>251</v>
      </c>
      <c r="B13" s="6">
        <v>1</v>
      </c>
      <c r="C13" s="6">
        <v>0.5</v>
      </c>
      <c r="D13" s="11">
        <v>0.3</v>
      </c>
      <c r="E13" s="6">
        <f t="shared" si="0"/>
        <v>0.15</v>
      </c>
    </row>
    <row r="14" spans="1:5" ht="27" customHeight="1" x14ac:dyDescent="0.2">
      <c r="A14" s="59" t="s">
        <v>252</v>
      </c>
      <c r="B14" s="6">
        <v>1</v>
      </c>
      <c r="C14" s="6">
        <v>1</v>
      </c>
      <c r="D14" s="11">
        <v>0.8</v>
      </c>
      <c r="E14" s="6">
        <f t="shared" si="0"/>
        <v>0.8</v>
      </c>
    </row>
    <row r="15" spans="1:5" ht="27" customHeight="1" x14ac:dyDescent="0.2">
      <c r="A15" s="59" t="s">
        <v>253</v>
      </c>
      <c r="B15" s="6">
        <v>1</v>
      </c>
      <c r="C15" s="6">
        <v>0.3</v>
      </c>
      <c r="D15" s="11">
        <v>1</v>
      </c>
      <c r="E15" s="6">
        <f t="shared" si="0"/>
        <v>0.3</v>
      </c>
    </row>
    <row r="16" spans="1:5" ht="27" customHeight="1" x14ac:dyDescent="0.2">
      <c r="A16" s="59" t="s">
        <v>254</v>
      </c>
      <c r="B16" s="6">
        <v>1</v>
      </c>
      <c r="C16" s="6">
        <v>1</v>
      </c>
      <c r="D16" s="11">
        <v>0.4</v>
      </c>
      <c r="E16" s="6">
        <f t="shared" si="0"/>
        <v>0.4</v>
      </c>
    </row>
    <row r="17" spans="1:5" ht="27" customHeight="1" x14ac:dyDescent="0.2">
      <c r="A17" s="59"/>
      <c r="B17" s="6"/>
      <c r="C17" s="6"/>
      <c r="D17" s="11"/>
      <c r="E17" s="6"/>
    </row>
  </sheetData>
  <phoneticPr fontId="0" type="noConversion"/>
  <printOptions gridLines="1" gridLinesSet="0"/>
  <pageMargins left="0.75" right="0.75" top="1" bottom="1" header="0.5" footer="0.5"/>
  <headerFooter alignWithMargins="0">
    <oddHeader>&amp;A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Variables</vt:lpstr>
      <vt:lpstr>Results </vt:lpstr>
      <vt:lpstr>Loss Ratio</vt:lpstr>
      <vt:lpstr>Staffing</vt:lpstr>
      <vt:lpstr>Adjuster Cost</vt:lpstr>
      <vt:lpstr>Med Only</vt:lpstr>
      <vt:lpstr>Closure Rate</vt:lpstr>
      <vt:lpstr>ALLOCATED</vt:lpstr>
      <vt:lpstr>Phase 1</vt:lpstr>
      <vt:lpstr>Phase 2</vt:lpstr>
      <vt:lpstr>Phase 3</vt:lpstr>
      <vt:lpstr>earned premium</vt:lpstr>
      <vt:lpstr>Sheet14</vt:lpstr>
      <vt:lpstr>Sheet15</vt:lpstr>
      <vt:lpstr>Sheet16</vt:lpstr>
      <vt:lpstr>'Adjuster Cost'!Print_Area</vt:lpstr>
      <vt:lpstr>ALLOCATED!Print_Area</vt:lpstr>
      <vt:lpstr>'Closure Rate'!Print_Area</vt:lpstr>
      <vt:lpstr>'Med Only'!Print_Area</vt:lpstr>
      <vt:lpstr>Staffing!Print_Area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Denney</dc:creator>
  <cp:lastModifiedBy>coril</cp:lastModifiedBy>
  <cp:lastPrinted>1999-01-17T03:14:07Z</cp:lastPrinted>
  <dcterms:created xsi:type="dcterms:W3CDTF">1999-01-17T04:08:47Z</dcterms:created>
  <dcterms:modified xsi:type="dcterms:W3CDTF">2019-11-06T02:32:12Z</dcterms:modified>
</cp:coreProperties>
</file>